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kingg1\Desktop\Transportation\"/>
    </mc:Choice>
  </mc:AlternateContent>
  <bookViews>
    <workbookView xWindow="0" yWindow="0" windowWidth="38400" windowHeight="13356" firstSheet="5" activeTab="6"/>
  </bookViews>
  <sheets>
    <sheet name="Arapahoe" sheetId="1" r:id="rId1"/>
    <sheet name="Pearl" sheetId="22" r:id="rId2"/>
    <sheet name="Valmont" sheetId="9" r:id="rId3"/>
    <sheet name="Broadway" sheetId="2" r:id="rId4"/>
    <sheet name="28th" sheetId="6" r:id="rId5"/>
    <sheet name="Foothills" sheetId="19" r:id="rId6"/>
    <sheet name="Arapahoe Chart" sheetId="21" r:id="rId7"/>
    <sheet name="Pearl Chart" sheetId="24" r:id="rId8"/>
    <sheet name="Valmont Chart" sheetId="16" r:id="rId9"/>
    <sheet name="Broadway Chart" sheetId="5" r:id="rId10"/>
    <sheet name="28th Chart" sheetId="7" r:id="rId11"/>
    <sheet name="Foothills Chart" sheetId="20" r:id="rId12"/>
    <sheet name="Comparison Chart - %" sheetId="17" r:id="rId13"/>
    <sheet name="Comparison Chart - Time" sheetId="26" r:id="rId14"/>
    <sheet name="All Corridors" sheetId="3" r:id="rId15"/>
    <sheet name="Sheet1" sheetId="25" r:id="rId16"/>
    <sheet name="Distances" sheetId="11" r:id="rId17"/>
    <sheet name="Pearl SL" sheetId="23" r:id="rId18"/>
    <sheet name="Arapahoe SL" sheetId="12" r:id="rId19"/>
    <sheet name="Valmont SL" sheetId="14" r:id="rId20"/>
    <sheet name="Broadway SL" sheetId="13" r:id="rId21"/>
    <sheet name="28th SL" sheetId="15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7">'Pearl SL'!$A$1:$J$40</definedName>
  </definedNames>
  <calcPr calcId="171027"/>
</workbook>
</file>

<file path=xl/calcChain.xml><?xml version="1.0" encoding="utf-8"?>
<calcChain xmlns="http://schemas.openxmlformats.org/spreadsheetml/2006/main">
  <c r="O16" i="22" l="1"/>
  <c r="O15" i="22"/>
  <c r="O25" i="1"/>
  <c r="O26" i="1"/>
  <c r="O54" i="3" l="1"/>
  <c r="N54" i="3"/>
  <c r="L54" i="3"/>
  <c r="G54" i="3"/>
  <c r="F54" i="3"/>
  <c r="F52" i="3"/>
  <c r="D54" i="3"/>
  <c r="G36" i="3"/>
  <c r="F36" i="3"/>
  <c r="D36" i="3"/>
  <c r="L18" i="19"/>
  <c r="I18" i="19"/>
  <c r="K18" i="19" s="1"/>
  <c r="D18" i="19"/>
  <c r="D16" i="19"/>
  <c r="D14" i="19"/>
  <c r="B18" i="19"/>
  <c r="O15" i="19"/>
  <c r="O17" i="19"/>
  <c r="O18" i="19"/>
  <c r="J18" i="19"/>
  <c r="O27" i="6"/>
  <c r="O25" i="6"/>
  <c r="F18" i="19" l="1"/>
  <c r="H18" i="19"/>
  <c r="G18" i="19"/>
  <c r="N18" i="19"/>
  <c r="C18" i="19"/>
  <c r="E18" i="19"/>
  <c r="M18" i="19"/>
  <c r="O25" i="2" l="1"/>
  <c r="Q25" i="2" l="1"/>
  <c r="P25" i="2"/>
  <c r="P24" i="2"/>
  <c r="P28" i="2"/>
  <c r="O26" i="6" l="1"/>
  <c r="O28" i="6"/>
  <c r="I28" i="6" l="1"/>
  <c r="K28" i="6" s="1"/>
  <c r="B28" i="6"/>
  <c r="C28" i="6" s="1"/>
  <c r="E28" i="6"/>
  <c r="F28" i="6"/>
  <c r="O26" i="2"/>
  <c r="O27" i="2"/>
  <c r="O28" i="2"/>
  <c r="J28" i="6" l="1"/>
  <c r="D28" i="6"/>
  <c r="L28" i="6"/>
  <c r="I28" i="2"/>
  <c r="B28" i="2"/>
  <c r="D28" i="2" s="1"/>
  <c r="Q28" i="2"/>
  <c r="N28" i="6" l="1"/>
  <c r="M28" i="6"/>
  <c r="F28" i="2"/>
  <c r="L28" i="2"/>
  <c r="M28" i="2" s="1"/>
  <c r="E28" i="2"/>
  <c r="C28" i="2"/>
  <c r="J28" i="2"/>
  <c r="K28" i="2"/>
  <c r="N63" i="3"/>
  <c r="N57" i="3"/>
  <c r="L57" i="3"/>
  <c r="N56" i="3"/>
  <c r="L56" i="3"/>
  <c r="E57" i="3"/>
  <c r="C57" i="3"/>
  <c r="E56" i="3"/>
  <c r="C56" i="3"/>
  <c r="N51" i="3"/>
  <c r="O39" i="3"/>
  <c r="N39" i="3"/>
  <c r="L39" i="3"/>
  <c r="O38" i="3"/>
  <c r="N38" i="3"/>
  <c r="L38" i="3"/>
  <c r="G39" i="3"/>
  <c r="F39" i="3"/>
  <c r="D39" i="3"/>
  <c r="G38" i="3"/>
  <c r="F38" i="3"/>
  <c r="D38" i="3"/>
  <c r="I27" i="2" l="1"/>
  <c r="B27" i="2"/>
  <c r="L53" i="3" s="1"/>
  <c r="P27" i="2"/>
  <c r="Q27" i="2"/>
  <c r="I26" i="9"/>
  <c r="B26" i="9"/>
  <c r="N70" i="3" s="1"/>
  <c r="I26" i="1"/>
  <c r="B26" i="1"/>
  <c r="L70" i="3" s="1"/>
  <c r="P17" i="2"/>
  <c r="O16" i="19"/>
  <c r="O14" i="19"/>
  <c r="O24" i="6"/>
  <c r="O24" i="2"/>
  <c r="Q24" i="2" s="1"/>
  <c r="O14" i="22"/>
  <c r="O13" i="22"/>
  <c r="O24" i="1"/>
  <c r="O23" i="1"/>
  <c r="L27" i="2" l="1"/>
  <c r="L26" i="9"/>
  <c r="L26" i="1"/>
  <c r="L12" i="23"/>
  <c r="N12" i="23" s="1"/>
  <c r="L33" i="23"/>
  <c r="N33" i="23" s="1"/>
  <c r="L36" i="23"/>
  <c r="N36" i="23" s="1"/>
  <c r="L25" i="23"/>
  <c r="N25" i="23" s="1"/>
  <c r="J5" i="12"/>
  <c r="L19" i="23"/>
  <c r="N19" i="23" s="1"/>
  <c r="L6" i="23"/>
  <c r="A16" i="22"/>
  <c r="A17" i="22" s="1"/>
  <c r="A18" i="22" s="1"/>
  <c r="A19" i="22" s="1"/>
  <c r="A20" i="22" s="1"/>
  <c r="A21" i="22" s="1"/>
  <c r="A22" i="22" s="1"/>
  <c r="A23" i="22" s="1"/>
  <c r="A15" i="22"/>
  <c r="F6" i="22"/>
  <c r="P17" i="11"/>
  <c r="P28" i="11" s="1"/>
  <c r="P29" i="11" s="1"/>
  <c r="P30" i="11" s="1"/>
  <c r="F7" i="22" s="1"/>
  <c r="I14" i="22"/>
  <c r="L14" i="22" s="1"/>
  <c r="B14" i="22"/>
  <c r="Q69" i="3" s="1"/>
  <c r="I13" i="22"/>
  <c r="B13" i="22"/>
  <c r="Q68" i="3" s="1"/>
  <c r="I24" i="9"/>
  <c r="J26" i="9" s="1"/>
  <c r="B24" i="9"/>
  <c r="I23" i="9"/>
  <c r="I24" i="1"/>
  <c r="J26" i="1" s="1"/>
  <c r="I23" i="1"/>
  <c r="B23" i="9"/>
  <c r="N68" i="3" s="1"/>
  <c r="B24" i="1"/>
  <c r="L69" i="3" s="1"/>
  <c r="B23" i="1"/>
  <c r="L68" i="3" s="1"/>
  <c r="I16" i="19"/>
  <c r="B16" i="19"/>
  <c r="O52" i="3" s="1"/>
  <c r="I14" i="19"/>
  <c r="B14" i="19"/>
  <c r="I26" i="6"/>
  <c r="B26" i="6"/>
  <c r="I24" i="6"/>
  <c r="L24" i="6" s="1"/>
  <c r="I23" i="6"/>
  <c r="O23" i="6"/>
  <c r="B23" i="6"/>
  <c r="N50" i="3" s="1"/>
  <c r="B26" i="2"/>
  <c r="D26" i="2" s="1"/>
  <c r="I26" i="2"/>
  <c r="J27" i="2" s="1"/>
  <c r="I24" i="2"/>
  <c r="B24" i="2"/>
  <c r="L51" i="3" s="1"/>
  <c r="P23" i="2"/>
  <c r="O23" i="2"/>
  <c r="Q23" i="2" s="1"/>
  <c r="I23" i="2"/>
  <c r="B23" i="2"/>
  <c r="L50" i="3" s="1"/>
  <c r="E6" i="1"/>
  <c r="B13" i="1"/>
  <c r="L58" i="3" s="1"/>
  <c r="I13" i="1"/>
  <c r="K26" i="1" s="1"/>
  <c r="O13" i="1"/>
  <c r="B14" i="1"/>
  <c r="I14" i="1"/>
  <c r="O14" i="1"/>
  <c r="B15" i="1"/>
  <c r="I15" i="1"/>
  <c r="J15" i="1" s="1"/>
  <c r="O15" i="1"/>
  <c r="B16" i="1"/>
  <c r="I16" i="1"/>
  <c r="L16" i="1" s="1"/>
  <c r="O16" i="1"/>
  <c r="B17" i="1"/>
  <c r="L62" i="3" s="1"/>
  <c r="I17" i="1"/>
  <c r="O17" i="1"/>
  <c r="B18" i="1"/>
  <c r="I18" i="1"/>
  <c r="O18" i="1"/>
  <c r="B19" i="1"/>
  <c r="I19" i="1"/>
  <c r="O19" i="1"/>
  <c r="B20" i="1"/>
  <c r="I20" i="1"/>
  <c r="O20" i="1"/>
  <c r="B21" i="1"/>
  <c r="I21" i="1"/>
  <c r="O21" i="1"/>
  <c r="B22" i="1"/>
  <c r="F22" i="1" s="1"/>
  <c r="I22" i="1"/>
  <c r="O22" i="1"/>
  <c r="F5" i="9"/>
  <c r="H26" i="9" s="1"/>
  <c r="B13" i="9"/>
  <c r="I13" i="9"/>
  <c r="K24" i="9" s="1"/>
  <c r="O13" i="9"/>
  <c r="B14" i="9"/>
  <c r="I14" i="9"/>
  <c r="J14" i="9" s="1"/>
  <c r="O14" i="9"/>
  <c r="B15" i="9"/>
  <c r="I15" i="9"/>
  <c r="L15" i="9" s="1"/>
  <c r="O15" i="9"/>
  <c r="B16" i="9"/>
  <c r="D16" i="9" s="1"/>
  <c r="I16" i="9"/>
  <c r="K16" i="9" s="1"/>
  <c r="O16" i="9"/>
  <c r="B17" i="9"/>
  <c r="N62" i="3" s="1"/>
  <c r="C17" i="9"/>
  <c r="E17" i="9"/>
  <c r="I17" i="9"/>
  <c r="L17" i="9" s="1"/>
  <c r="O17" i="9"/>
  <c r="D18" i="9"/>
  <c r="I18" i="9"/>
  <c r="K18" i="9" s="1"/>
  <c r="O18" i="9"/>
  <c r="B19" i="9"/>
  <c r="F19" i="9"/>
  <c r="I19" i="9"/>
  <c r="K19" i="9" s="1"/>
  <c r="O19" i="9"/>
  <c r="B20" i="9"/>
  <c r="I20" i="9"/>
  <c r="B21" i="9"/>
  <c r="N66" i="3" s="1"/>
  <c r="I21" i="9"/>
  <c r="B22" i="9"/>
  <c r="I22" i="9"/>
  <c r="J22" i="9" s="1"/>
  <c r="E6" i="2"/>
  <c r="B13" i="2"/>
  <c r="I13" i="2"/>
  <c r="K27" i="2" s="1"/>
  <c r="O13" i="2"/>
  <c r="Q13" i="2" s="1"/>
  <c r="P13" i="2"/>
  <c r="B14" i="2"/>
  <c r="I14" i="2"/>
  <c r="O14" i="2"/>
  <c r="Q14" i="2" s="1"/>
  <c r="P14" i="2"/>
  <c r="B15" i="2"/>
  <c r="I15" i="2"/>
  <c r="J15" i="2" s="1"/>
  <c r="O15" i="2"/>
  <c r="Q15" i="2" s="1"/>
  <c r="P15" i="2"/>
  <c r="B16" i="2"/>
  <c r="L43" i="3" s="1"/>
  <c r="I16" i="2"/>
  <c r="O16" i="2"/>
  <c r="Q16" i="2" s="1"/>
  <c r="P16" i="2"/>
  <c r="B17" i="2"/>
  <c r="I17" i="2"/>
  <c r="O17" i="2"/>
  <c r="Q17" i="2" s="1"/>
  <c r="B18" i="2"/>
  <c r="I18" i="2"/>
  <c r="O18" i="2"/>
  <c r="Q18" i="2" s="1"/>
  <c r="P18" i="2"/>
  <c r="B19" i="2"/>
  <c r="I19" i="2"/>
  <c r="J19" i="2" s="1"/>
  <c r="O19" i="2"/>
  <c r="Q19" i="2" s="1"/>
  <c r="P19" i="2"/>
  <c r="B20" i="2"/>
  <c r="E20" i="2" s="1"/>
  <c r="I20" i="2"/>
  <c r="O20" i="2"/>
  <c r="Q20" i="2" s="1"/>
  <c r="P20" i="2"/>
  <c r="B21" i="2"/>
  <c r="I21" i="2"/>
  <c r="O21" i="2"/>
  <c r="Q21" i="2" s="1"/>
  <c r="P21" i="2"/>
  <c r="B22" i="2"/>
  <c r="I22" i="2"/>
  <c r="O22" i="2"/>
  <c r="Q22" i="2" s="1"/>
  <c r="P22" i="2"/>
  <c r="Q26" i="2"/>
  <c r="P26" i="2"/>
  <c r="G7" i="6"/>
  <c r="B13" i="6"/>
  <c r="I13" i="6"/>
  <c r="O13" i="6"/>
  <c r="B14" i="6"/>
  <c r="N41" i="3" s="1"/>
  <c r="I14" i="6"/>
  <c r="O14" i="6"/>
  <c r="B15" i="6"/>
  <c r="I15" i="6"/>
  <c r="J15" i="6" s="1"/>
  <c r="O15" i="6"/>
  <c r="B16" i="6"/>
  <c r="I16" i="6"/>
  <c r="O16" i="6"/>
  <c r="B17" i="6"/>
  <c r="E17" i="6"/>
  <c r="I17" i="6"/>
  <c r="K17" i="6" s="1"/>
  <c r="O17" i="6"/>
  <c r="B18" i="6"/>
  <c r="E18" i="6"/>
  <c r="I18" i="6"/>
  <c r="L18" i="6" s="1"/>
  <c r="O18" i="6"/>
  <c r="B19" i="6"/>
  <c r="N46" i="3" s="1"/>
  <c r="C19" i="6"/>
  <c r="E19" i="6"/>
  <c r="I19" i="6"/>
  <c r="K19" i="6" s="1"/>
  <c r="O19" i="6"/>
  <c r="B20" i="6"/>
  <c r="D20" i="6" s="1"/>
  <c r="I20" i="6"/>
  <c r="L20" i="6" s="1"/>
  <c r="O20" i="6"/>
  <c r="B21" i="6"/>
  <c r="I21" i="6"/>
  <c r="O21" i="6"/>
  <c r="B22" i="6"/>
  <c r="N49" i="3" s="1"/>
  <c r="I22" i="6"/>
  <c r="O22" i="6"/>
  <c r="B13" i="19"/>
  <c r="I13" i="19"/>
  <c r="O13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C4" i="3"/>
  <c r="D4" i="3"/>
  <c r="E4" i="3"/>
  <c r="F4" i="3"/>
  <c r="G4" i="3"/>
  <c r="C5" i="3"/>
  <c r="D5" i="3"/>
  <c r="E5" i="3"/>
  <c r="F5" i="3"/>
  <c r="G5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41" i="3"/>
  <c r="A42" i="3" s="1"/>
  <c r="A43" i="3" s="1"/>
  <c r="A44" i="3" s="1"/>
  <c r="A45" i="3" s="1"/>
  <c r="A46" i="3" s="1"/>
  <c r="A47" i="3" s="1"/>
  <c r="A48" i="3" s="1"/>
  <c r="A49" i="3" s="1"/>
  <c r="A50" i="3" s="1"/>
  <c r="A59" i="3"/>
  <c r="A60" i="3" s="1"/>
  <c r="A61" i="3" s="1"/>
  <c r="A62" i="3" s="1"/>
  <c r="A63" i="3" s="1"/>
  <c r="A64" i="3" s="1"/>
  <c r="A65" i="3" s="1"/>
  <c r="A66" i="3" s="1"/>
  <c r="A67" i="3" s="1"/>
  <c r="H6" i="11"/>
  <c r="K9" i="11"/>
  <c r="F6" i="19" s="1"/>
  <c r="H11" i="11"/>
  <c r="H12" i="11"/>
  <c r="F14" i="11"/>
  <c r="F6" i="6" s="1"/>
  <c r="B28" i="11"/>
  <c r="E5" i="2" s="1"/>
  <c r="D28" i="11"/>
  <c r="E5" i="1" s="1"/>
  <c r="H26" i="1" s="1"/>
  <c r="J6" i="12"/>
  <c r="J7" i="12"/>
  <c r="F9" i="12"/>
  <c r="J9" i="12" s="1"/>
  <c r="F13" i="12"/>
  <c r="F18" i="12"/>
  <c r="F25" i="12" s="1"/>
  <c r="J19" i="12"/>
  <c r="J20" i="12"/>
  <c r="F26" i="12"/>
  <c r="I5" i="14"/>
  <c r="I12" i="14" s="1"/>
  <c r="I6" i="14"/>
  <c r="I7" i="14"/>
  <c r="F12" i="14"/>
  <c r="I17" i="14"/>
  <c r="I18" i="14"/>
  <c r="I19" i="14"/>
  <c r="F24" i="14"/>
  <c r="F27" i="14"/>
  <c r="J5" i="13"/>
  <c r="J6" i="13"/>
  <c r="J7" i="13"/>
  <c r="J8" i="13"/>
  <c r="J9" i="13"/>
  <c r="J10" i="13"/>
  <c r="F11" i="13"/>
  <c r="J11" i="13" s="1"/>
  <c r="F13" i="13"/>
  <c r="F14" i="13"/>
  <c r="F18" i="13"/>
  <c r="F25" i="13" s="1"/>
  <c r="J19" i="13"/>
  <c r="J20" i="13"/>
  <c r="J21" i="13"/>
  <c r="J22" i="13"/>
  <c r="J23" i="13"/>
  <c r="J24" i="13"/>
  <c r="F26" i="13"/>
  <c r="I5" i="15"/>
  <c r="I6" i="15"/>
  <c r="I7" i="15"/>
  <c r="I8" i="15"/>
  <c r="F9" i="15"/>
  <c r="F14" i="15" s="1"/>
  <c r="F13" i="15"/>
  <c r="I18" i="15"/>
  <c r="I20" i="15"/>
  <c r="I21" i="15"/>
  <c r="I22" i="15"/>
  <c r="F26" i="15"/>
  <c r="F27" i="15"/>
  <c r="H27" i="2" l="1"/>
  <c r="H28" i="2"/>
  <c r="C16" i="6"/>
  <c r="N43" i="3"/>
  <c r="C15" i="6"/>
  <c r="N42" i="3"/>
  <c r="D14" i="2"/>
  <c r="L41" i="3"/>
  <c r="E19" i="1"/>
  <c r="L64" i="3"/>
  <c r="K28" i="11"/>
  <c r="F5" i="19" s="1"/>
  <c r="L22" i="6"/>
  <c r="J21" i="6"/>
  <c r="E20" i="6"/>
  <c r="C18" i="6"/>
  <c r="N45" i="3"/>
  <c r="C17" i="6"/>
  <c r="N44" i="3"/>
  <c r="K21" i="9"/>
  <c r="J20" i="9"/>
  <c r="H18" i="9"/>
  <c r="H16" i="9"/>
  <c r="H14" i="9"/>
  <c r="H13" i="9"/>
  <c r="N58" i="3"/>
  <c r="L22" i="1"/>
  <c r="N22" i="1" s="1"/>
  <c r="F20" i="1"/>
  <c r="L65" i="3"/>
  <c r="J17" i="1"/>
  <c r="F16" i="1"/>
  <c r="C15" i="1"/>
  <c r="L60" i="3"/>
  <c r="F28" i="11"/>
  <c r="F29" i="11" s="1"/>
  <c r="F30" i="11" s="1"/>
  <c r="L13" i="19"/>
  <c r="N16" i="19" s="1"/>
  <c r="C22" i="6"/>
  <c r="D21" i="6"/>
  <c r="N48" i="3"/>
  <c r="L14" i="6"/>
  <c r="F14" i="6"/>
  <c r="N40" i="3"/>
  <c r="D22" i="2"/>
  <c r="L49" i="3"/>
  <c r="D21" i="2"/>
  <c r="L48" i="3"/>
  <c r="D17" i="2"/>
  <c r="L44" i="3"/>
  <c r="E16" i="2"/>
  <c r="C20" i="9"/>
  <c r="N65" i="3"/>
  <c r="E19" i="9"/>
  <c r="N64" i="3"/>
  <c r="E18" i="9"/>
  <c r="F17" i="9"/>
  <c r="D15" i="9"/>
  <c r="N60" i="3"/>
  <c r="C14" i="9"/>
  <c r="N59" i="3"/>
  <c r="H5" i="9"/>
  <c r="E21" i="1"/>
  <c r="L66" i="3"/>
  <c r="L18" i="1"/>
  <c r="C16" i="1"/>
  <c r="L61" i="3"/>
  <c r="L13" i="1"/>
  <c r="N26" i="1" s="1"/>
  <c r="J14" i="19"/>
  <c r="D26" i="9"/>
  <c r="F24" i="2"/>
  <c r="L40" i="3"/>
  <c r="E22" i="9"/>
  <c r="N67" i="3"/>
  <c r="D14" i="1"/>
  <c r="L59" i="3"/>
  <c r="C14" i="19"/>
  <c r="O50" i="3"/>
  <c r="C20" i="6"/>
  <c r="N47" i="3"/>
  <c r="L16" i="6"/>
  <c r="F15" i="6"/>
  <c r="D20" i="2"/>
  <c r="L47" i="3"/>
  <c r="D19" i="2"/>
  <c r="L46" i="3"/>
  <c r="D18" i="2"/>
  <c r="L45" i="3"/>
  <c r="D15" i="2"/>
  <c r="L42" i="3"/>
  <c r="E14" i="2"/>
  <c r="K22" i="9"/>
  <c r="C21" i="9"/>
  <c r="C16" i="9"/>
  <c r="N61" i="3"/>
  <c r="C22" i="1"/>
  <c r="L67" i="3"/>
  <c r="C18" i="1"/>
  <c r="L63" i="3"/>
  <c r="E27" i="2"/>
  <c r="L52" i="3"/>
  <c r="F14" i="19"/>
  <c r="O51" i="3"/>
  <c r="C16" i="19"/>
  <c r="L16" i="23"/>
  <c r="N16" i="23" s="1"/>
  <c r="E26" i="6"/>
  <c r="N52" i="3"/>
  <c r="L16" i="19"/>
  <c r="C26" i="9"/>
  <c r="N69" i="3"/>
  <c r="L30" i="23"/>
  <c r="L39" i="23" s="1"/>
  <c r="C27" i="2"/>
  <c r="A68" i="3"/>
  <c r="A28" i="3"/>
  <c r="I13" i="14"/>
  <c r="D29" i="11"/>
  <c r="D30" i="11" s="1"/>
  <c r="E7" i="1" s="1"/>
  <c r="F21" i="6"/>
  <c r="J19" i="6"/>
  <c r="D19" i="6"/>
  <c r="D18" i="6"/>
  <c r="E16" i="6"/>
  <c r="E15" i="6"/>
  <c r="J21" i="9"/>
  <c r="D21" i="9"/>
  <c r="H20" i="9"/>
  <c r="J16" i="9"/>
  <c r="F15" i="9"/>
  <c r="E14" i="9"/>
  <c r="E22" i="1"/>
  <c r="L20" i="1"/>
  <c r="N20" i="1" s="1"/>
  <c r="C19" i="1"/>
  <c r="F18" i="1"/>
  <c r="E18" i="1"/>
  <c r="E16" i="1"/>
  <c r="J26" i="2"/>
  <c r="C26" i="6"/>
  <c r="L26" i="6"/>
  <c r="M26" i="6" s="1"/>
  <c r="E14" i="19"/>
  <c r="J16" i="19"/>
  <c r="E24" i="1"/>
  <c r="E26" i="1"/>
  <c r="C23" i="9"/>
  <c r="F14" i="22"/>
  <c r="E26" i="9"/>
  <c r="F27" i="2"/>
  <c r="C14" i="6"/>
  <c r="I27" i="15"/>
  <c r="I24" i="14"/>
  <c r="I25" i="14" s="1"/>
  <c r="F6" i="9"/>
  <c r="E22" i="6"/>
  <c r="E21" i="6"/>
  <c r="F19" i="6"/>
  <c r="J17" i="6"/>
  <c r="D17" i="6"/>
  <c r="D16" i="6"/>
  <c r="K15" i="6"/>
  <c r="E14" i="6"/>
  <c r="F22" i="9"/>
  <c r="F21" i="9"/>
  <c r="L20" i="9"/>
  <c r="F20" i="9"/>
  <c r="J19" i="9"/>
  <c r="F18" i="9"/>
  <c r="D17" i="9"/>
  <c r="E15" i="9"/>
  <c r="K14" i="9"/>
  <c r="D14" i="9"/>
  <c r="K20" i="9"/>
  <c r="K26" i="9"/>
  <c r="E15" i="1"/>
  <c r="E24" i="2"/>
  <c r="D24" i="6"/>
  <c r="L14" i="19"/>
  <c r="M14" i="19" s="1"/>
  <c r="E16" i="19"/>
  <c r="H23" i="9"/>
  <c r="F26" i="9"/>
  <c r="D27" i="2"/>
  <c r="C26" i="1"/>
  <c r="I28" i="15"/>
  <c r="H28" i="11"/>
  <c r="H29" i="11" s="1"/>
  <c r="H30" i="11" s="1"/>
  <c r="F7" i="9" s="1"/>
  <c r="D22" i="6"/>
  <c r="K21" i="6"/>
  <c r="C21" i="6"/>
  <c r="F17" i="6"/>
  <c r="D15" i="6"/>
  <c r="D14" i="6"/>
  <c r="L13" i="6"/>
  <c r="E21" i="9"/>
  <c r="D20" i="9"/>
  <c r="L18" i="9"/>
  <c r="M18" i="9" s="1"/>
  <c r="E16" i="9"/>
  <c r="C15" i="9"/>
  <c r="E23" i="1"/>
  <c r="F24" i="6"/>
  <c r="H16" i="19"/>
  <c r="E23" i="9"/>
  <c r="J21" i="1"/>
  <c r="C20" i="1"/>
  <c r="C17" i="1"/>
  <c r="D15" i="1"/>
  <c r="D26" i="1"/>
  <c r="E20" i="1"/>
  <c r="J19" i="1"/>
  <c r="E17" i="1"/>
  <c r="F14" i="1"/>
  <c r="C23" i="1"/>
  <c r="F26" i="1"/>
  <c r="C21" i="1"/>
  <c r="F23" i="2"/>
  <c r="C22" i="2"/>
  <c r="E21" i="2"/>
  <c r="J20" i="2"/>
  <c r="E17" i="2"/>
  <c r="J16" i="2"/>
  <c r="E26" i="2"/>
  <c r="E22" i="2"/>
  <c r="J21" i="2"/>
  <c r="E18" i="2"/>
  <c r="J17" i="2"/>
  <c r="C26" i="2"/>
  <c r="J22" i="2"/>
  <c r="E19" i="2"/>
  <c r="J18" i="2"/>
  <c r="D16" i="2"/>
  <c r="E15" i="2"/>
  <c r="J14" i="2"/>
  <c r="L23" i="2"/>
  <c r="C23" i="2"/>
  <c r="N6" i="23"/>
  <c r="N21" i="23" s="1"/>
  <c r="N30" i="23"/>
  <c r="N39" i="23" s="1"/>
  <c r="M39" i="23"/>
  <c r="L21" i="23"/>
  <c r="M21" i="23" s="1"/>
  <c r="F5" i="22"/>
  <c r="L13" i="22"/>
  <c r="C14" i="22"/>
  <c r="E14" i="22"/>
  <c r="K14" i="22"/>
  <c r="D14" i="22"/>
  <c r="J14" i="22"/>
  <c r="L23" i="9"/>
  <c r="K23" i="9"/>
  <c r="D24" i="9"/>
  <c r="F24" i="9"/>
  <c r="H24" i="9"/>
  <c r="J24" i="9"/>
  <c r="L24" i="9"/>
  <c r="M26" i="9" s="1"/>
  <c r="D23" i="9"/>
  <c r="F23" i="9"/>
  <c r="J23" i="9"/>
  <c r="C24" i="9"/>
  <c r="E24" i="9"/>
  <c r="D22" i="1"/>
  <c r="K21" i="1"/>
  <c r="F21" i="1"/>
  <c r="D21" i="1"/>
  <c r="D20" i="1"/>
  <c r="K19" i="1"/>
  <c r="F19" i="1"/>
  <c r="D19" i="1"/>
  <c r="D18" i="1"/>
  <c r="K17" i="1"/>
  <c r="F17" i="1"/>
  <c r="D17" i="1"/>
  <c r="D16" i="1"/>
  <c r="K15" i="1"/>
  <c r="F15" i="1"/>
  <c r="L14" i="1"/>
  <c r="E14" i="1"/>
  <c r="F24" i="1"/>
  <c r="L24" i="1"/>
  <c r="M26" i="1" s="1"/>
  <c r="C24" i="1"/>
  <c r="F23" i="1"/>
  <c r="L23" i="1"/>
  <c r="K23" i="1"/>
  <c r="K24" i="1"/>
  <c r="D23" i="1"/>
  <c r="H23" i="1"/>
  <c r="J23" i="1"/>
  <c r="D24" i="1"/>
  <c r="H24" i="1"/>
  <c r="J24" i="1"/>
  <c r="K16" i="19"/>
  <c r="F16" i="19"/>
  <c r="J24" i="2"/>
  <c r="C24" i="2"/>
  <c r="E23" i="2"/>
  <c r="J23" i="2"/>
  <c r="D23" i="6"/>
  <c r="F23" i="6"/>
  <c r="C24" i="6"/>
  <c r="E24" i="6"/>
  <c r="C23" i="6"/>
  <c r="E23" i="6"/>
  <c r="L23" i="6"/>
  <c r="K14" i="19"/>
  <c r="D26" i="6"/>
  <c r="F26" i="6"/>
  <c r="N26" i="6"/>
  <c r="M24" i="6"/>
  <c r="K23" i="6"/>
  <c r="K24" i="6"/>
  <c r="K26" i="6"/>
  <c r="J23" i="6"/>
  <c r="J24" i="6"/>
  <c r="J26" i="6"/>
  <c r="H24" i="2"/>
  <c r="L24" i="2"/>
  <c r="K23" i="2"/>
  <c r="K24" i="2"/>
  <c r="D23" i="2"/>
  <c r="H23" i="2"/>
  <c r="D24" i="2"/>
  <c r="K26" i="2"/>
  <c r="F26" i="2"/>
  <c r="K22" i="2"/>
  <c r="F22" i="2"/>
  <c r="K21" i="2"/>
  <c r="F21" i="2"/>
  <c r="C21" i="2"/>
  <c r="K20" i="2"/>
  <c r="F20" i="2"/>
  <c r="C20" i="2"/>
  <c r="K19" i="2"/>
  <c r="F19" i="2"/>
  <c r="C19" i="2"/>
  <c r="K18" i="2"/>
  <c r="F18" i="2"/>
  <c r="C18" i="2"/>
  <c r="K17" i="2"/>
  <c r="F17" i="2"/>
  <c r="C17" i="2"/>
  <c r="K16" i="2"/>
  <c r="F16" i="2"/>
  <c r="C16" i="2"/>
  <c r="K15" i="2"/>
  <c r="F15" i="2"/>
  <c r="C15" i="2"/>
  <c r="K14" i="2"/>
  <c r="F14" i="2"/>
  <c r="C14" i="2"/>
  <c r="L13" i="2"/>
  <c r="F12" i="12"/>
  <c r="N18" i="1"/>
  <c r="F30" i="15"/>
  <c r="N14" i="1"/>
  <c r="M14" i="1"/>
  <c r="H5" i="2"/>
  <c r="H13" i="2"/>
  <c r="H14" i="2"/>
  <c r="H15" i="2"/>
  <c r="H16" i="2"/>
  <c r="H17" i="2"/>
  <c r="H18" i="2"/>
  <c r="H19" i="2"/>
  <c r="H20" i="2"/>
  <c r="H21" i="2"/>
  <c r="H22" i="2"/>
  <c r="H26" i="2"/>
  <c r="F31" i="13"/>
  <c r="H14" i="1"/>
  <c r="H16" i="1"/>
  <c r="H18" i="1"/>
  <c r="H20" i="1"/>
  <c r="H22" i="1"/>
  <c r="H5" i="1"/>
  <c r="H13" i="1"/>
  <c r="H15" i="1"/>
  <c r="H17" i="1"/>
  <c r="H19" i="1"/>
  <c r="H21" i="1"/>
  <c r="N22" i="6"/>
  <c r="F7" i="6"/>
  <c r="F7" i="19"/>
  <c r="N16" i="1"/>
  <c r="H5" i="19"/>
  <c r="H13" i="19"/>
  <c r="J32" i="13"/>
  <c r="E9" i="2" s="1"/>
  <c r="I27" i="14"/>
  <c r="C37" i="2"/>
  <c r="F5" i="6"/>
  <c r="I9" i="15"/>
  <c r="I14" i="15" s="1"/>
  <c r="J18" i="13"/>
  <c r="J25" i="13" s="1"/>
  <c r="I25" i="13" s="1"/>
  <c r="J18" i="12"/>
  <c r="J25" i="12" s="1"/>
  <c r="I25" i="12" s="1"/>
  <c r="K29" i="11"/>
  <c r="K30" i="11" s="1"/>
  <c r="B29" i="11"/>
  <c r="B30" i="11" s="1"/>
  <c r="E7" i="2" s="1"/>
  <c r="J22" i="6"/>
  <c r="F22" i="6"/>
  <c r="L21" i="6"/>
  <c r="J20" i="6"/>
  <c r="F20" i="6"/>
  <c r="L19" i="6"/>
  <c r="M20" i="6" s="1"/>
  <c r="J18" i="6"/>
  <c r="F18" i="6"/>
  <c r="L17" i="6"/>
  <c r="J16" i="6"/>
  <c r="F16" i="6"/>
  <c r="L15" i="6"/>
  <c r="J14" i="6"/>
  <c r="L26" i="2"/>
  <c r="M27" i="2" s="1"/>
  <c r="L22" i="2"/>
  <c r="M23" i="2" s="1"/>
  <c r="L21" i="2"/>
  <c r="L20" i="2"/>
  <c r="L19" i="2"/>
  <c r="L18" i="2"/>
  <c r="L17" i="2"/>
  <c r="L16" i="2"/>
  <c r="L15" i="2"/>
  <c r="L14" i="2"/>
  <c r="C22" i="9"/>
  <c r="L21" i="9"/>
  <c r="H21" i="9"/>
  <c r="E20" i="9"/>
  <c r="C19" i="9"/>
  <c r="J17" i="9"/>
  <c r="L16" i="9"/>
  <c r="J15" i="9"/>
  <c r="L14" i="9"/>
  <c r="M15" i="9" s="1"/>
  <c r="L13" i="9"/>
  <c r="N15" i="9" s="1"/>
  <c r="J22" i="1"/>
  <c r="L21" i="1"/>
  <c r="M22" i="1" s="1"/>
  <c r="J20" i="1"/>
  <c r="L19" i="1"/>
  <c r="J18" i="1"/>
  <c r="L17" i="1"/>
  <c r="J16" i="1"/>
  <c r="L15" i="1"/>
  <c r="J14" i="1"/>
  <c r="J12" i="12"/>
  <c r="K22" i="6"/>
  <c r="K20" i="6"/>
  <c r="K18" i="6"/>
  <c r="K16" i="6"/>
  <c r="K14" i="6"/>
  <c r="L22" i="9"/>
  <c r="H22" i="9"/>
  <c r="D22" i="9"/>
  <c r="L19" i="9"/>
  <c r="H19" i="9"/>
  <c r="D19" i="9"/>
  <c r="J18" i="9"/>
  <c r="K17" i="9"/>
  <c r="K15" i="9"/>
  <c r="K22" i="1"/>
  <c r="K20" i="1"/>
  <c r="K18" i="1"/>
  <c r="K16" i="1"/>
  <c r="K14" i="1"/>
  <c r="C14" i="1"/>
  <c r="J13" i="13"/>
  <c r="J31" i="13" s="1"/>
  <c r="C18" i="9"/>
  <c r="H17" i="9"/>
  <c r="F16" i="9"/>
  <c r="H15" i="9"/>
  <c r="F14" i="9"/>
  <c r="H28" i="6" l="1"/>
  <c r="M23" i="6"/>
  <c r="M22" i="6"/>
  <c r="G27" i="2"/>
  <c r="D34" i="3" s="1"/>
  <c r="D53" i="3" s="1"/>
  <c r="G28" i="2"/>
  <c r="N23" i="2"/>
  <c r="N28" i="2"/>
  <c r="N24" i="2"/>
  <c r="N27" i="2"/>
  <c r="N14" i="19"/>
  <c r="I12" i="12"/>
  <c r="M26" i="2"/>
  <c r="M23" i="9"/>
  <c r="N14" i="6"/>
  <c r="M23" i="1"/>
  <c r="F9" i="19"/>
  <c r="H14" i="19"/>
  <c r="N24" i="1"/>
  <c r="A29" i="3"/>
  <c r="A30" i="3" s="1"/>
  <c r="A51" i="3"/>
  <c r="M20" i="1"/>
  <c r="I28" i="14"/>
  <c r="F9" i="9" s="1"/>
  <c r="N18" i="6"/>
  <c r="M14" i="6"/>
  <c r="N24" i="6"/>
  <c r="N23" i="6"/>
  <c r="H5" i="22"/>
  <c r="H14" i="22"/>
  <c r="H13" i="22"/>
  <c r="I29" i="14"/>
  <c r="N20" i="6"/>
  <c r="M24" i="2"/>
  <c r="N26" i="9"/>
  <c r="J28" i="12"/>
  <c r="I30" i="15"/>
  <c r="I31" i="15" s="1"/>
  <c r="F9" i="6" s="1"/>
  <c r="I13" i="13"/>
  <c r="N16" i="6"/>
  <c r="N23" i="9"/>
  <c r="M16" i="19"/>
  <c r="J29" i="12"/>
  <c r="E9" i="1" s="1"/>
  <c r="G26" i="1" s="1"/>
  <c r="N23" i="1"/>
  <c r="M41" i="23"/>
  <c r="F8" i="22" s="1"/>
  <c r="N41" i="23"/>
  <c r="F9" i="22" s="1"/>
  <c r="G14" i="22" s="1"/>
  <c r="M14" i="22"/>
  <c r="N14" i="22"/>
  <c r="M24" i="1"/>
  <c r="M24" i="9"/>
  <c r="N24" i="9"/>
  <c r="H24" i="6"/>
  <c r="H23" i="6"/>
  <c r="G26" i="6"/>
  <c r="F32" i="3" s="1"/>
  <c r="H26" i="6"/>
  <c r="G24" i="2"/>
  <c r="D28" i="3" s="1"/>
  <c r="D51" i="3" s="1"/>
  <c r="G23" i="2"/>
  <c r="D26" i="3" s="1"/>
  <c r="D50" i="3" s="1"/>
  <c r="F28" i="12"/>
  <c r="I15" i="15"/>
  <c r="N21" i="9"/>
  <c r="M21" i="9"/>
  <c r="M22" i="9"/>
  <c r="N22" i="9"/>
  <c r="N15" i="1"/>
  <c r="M15" i="1"/>
  <c r="N19" i="1"/>
  <c r="M19" i="1"/>
  <c r="N16" i="2"/>
  <c r="M16" i="2"/>
  <c r="N20" i="2"/>
  <c r="M20" i="2"/>
  <c r="N17" i="6"/>
  <c r="M17" i="6"/>
  <c r="I31" i="13"/>
  <c r="E8" i="2" s="1"/>
  <c r="N18" i="9"/>
  <c r="I32" i="15"/>
  <c r="F8" i="6" s="1"/>
  <c r="N26" i="2"/>
  <c r="G13" i="2"/>
  <c r="D40" i="3" s="1"/>
  <c r="G14" i="2"/>
  <c r="D41" i="3" s="1"/>
  <c r="G15" i="2"/>
  <c r="D42" i="3" s="1"/>
  <c r="G16" i="2"/>
  <c r="D43" i="3" s="1"/>
  <c r="G17" i="2"/>
  <c r="D44" i="3" s="1"/>
  <c r="G18" i="2"/>
  <c r="D45" i="3" s="1"/>
  <c r="G19" i="2"/>
  <c r="D46" i="3" s="1"/>
  <c r="G20" i="2"/>
  <c r="D47" i="3" s="1"/>
  <c r="G21" i="2"/>
  <c r="D48" i="3" s="1"/>
  <c r="G22" i="2"/>
  <c r="D49" i="3" s="1"/>
  <c r="G26" i="2"/>
  <c r="D32" i="3" s="1"/>
  <c r="D52" i="3" s="1"/>
  <c r="N17" i="1"/>
  <c r="M17" i="1"/>
  <c r="N21" i="1"/>
  <c r="M21" i="1"/>
  <c r="N14" i="2"/>
  <c r="M14" i="2"/>
  <c r="N18" i="2"/>
  <c r="M18" i="2"/>
  <c r="N22" i="2"/>
  <c r="M22" i="2"/>
  <c r="N21" i="6"/>
  <c r="M21" i="6"/>
  <c r="G13" i="6"/>
  <c r="F40" i="3" s="1"/>
  <c r="F8" i="9"/>
  <c r="M18" i="6"/>
  <c r="N20" i="9"/>
  <c r="N17" i="9"/>
  <c r="N16" i="9"/>
  <c r="M16" i="9"/>
  <c r="N15" i="2"/>
  <c r="M15" i="2"/>
  <c r="N19" i="2"/>
  <c r="M19" i="2"/>
  <c r="N19" i="6"/>
  <c r="M19" i="6"/>
  <c r="H14" i="6"/>
  <c r="H16" i="6"/>
  <c r="H18" i="6"/>
  <c r="H20" i="6"/>
  <c r="H22" i="6"/>
  <c r="H5" i="6"/>
  <c r="H13" i="6"/>
  <c r="H15" i="6"/>
  <c r="H17" i="6"/>
  <c r="H19" i="6"/>
  <c r="H21" i="6"/>
  <c r="M19" i="9"/>
  <c r="N19" i="9"/>
  <c r="N14" i="9"/>
  <c r="M14" i="9"/>
  <c r="N17" i="2"/>
  <c r="M17" i="2"/>
  <c r="N21" i="2"/>
  <c r="M21" i="2"/>
  <c r="N15" i="6"/>
  <c r="M15" i="6"/>
  <c r="M20" i="9"/>
  <c r="M16" i="1"/>
  <c r="M16" i="6"/>
  <c r="M17" i="9"/>
  <c r="M18" i="1"/>
  <c r="G22" i="6" l="1"/>
  <c r="F49" i="3" s="1"/>
  <c r="G28" i="6"/>
  <c r="G21" i="6"/>
  <c r="F48" i="3" s="1"/>
  <c r="G16" i="6"/>
  <c r="F43" i="3" s="1"/>
  <c r="G23" i="6"/>
  <c r="F26" i="3" s="1"/>
  <c r="F50" i="3" s="1"/>
  <c r="G19" i="6"/>
  <c r="F46" i="3" s="1"/>
  <c r="G14" i="6"/>
  <c r="F41" i="3" s="1"/>
  <c r="C34" i="3"/>
  <c r="C70" i="3"/>
  <c r="G14" i="19"/>
  <c r="G28" i="3" s="1"/>
  <c r="G51" i="3" s="1"/>
  <c r="G13" i="19"/>
  <c r="G16" i="19"/>
  <c r="G32" i="3" s="1"/>
  <c r="G52" i="3" s="1"/>
  <c r="H30" i="3"/>
  <c r="H69" i="3"/>
  <c r="G22" i="9"/>
  <c r="E67" i="3" s="1"/>
  <c r="G20" i="9"/>
  <c r="E65" i="3" s="1"/>
  <c r="G24" i="9"/>
  <c r="G17" i="9"/>
  <c r="G14" i="9"/>
  <c r="E59" i="3" s="1"/>
  <c r="G26" i="9"/>
  <c r="G13" i="9"/>
  <c r="E58" i="3" s="1"/>
  <c r="G19" i="9"/>
  <c r="E64" i="3" s="1"/>
  <c r="G21" i="9"/>
  <c r="E66" i="3" s="1"/>
  <c r="G23" i="9"/>
  <c r="G18" i="9"/>
  <c r="E63" i="3" s="1"/>
  <c r="G16" i="9"/>
  <c r="G15" i="9"/>
  <c r="E60" i="3" s="1"/>
  <c r="G17" i="6"/>
  <c r="F44" i="3" s="1"/>
  <c r="G20" i="6"/>
  <c r="A31" i="3"/>
  <c r="A32" i="3" s="1"/>
  <c r="A69" i="3"/>
  <c r="G15" i="6"/>
  <c r="F42" i="3" s="1"/>
  <c r="G18" i="6"/>
  <c r="I28" i="12"/>
  <c r="E8" i="1" s="1"/>
  <c r="G24" i="6"/>
  <c r="F28" i="3" s="1"/>
  <c r="F51" i="3" s="1"/>
  <c r="G13" i="22"/>
  <c r="G24" i="1"/>
  <c r="G23" i="1"/>
  <c r="D24" i="3"/>
  <c r="D8" i="3"/>
  <c r="E7" i="3"/>
  <c r="F22" i="3"/>
  <c r="F6" i="3"/>
  <c r="F12" i="3"/>
  <c r="D22" i="3"/>
  <c r="D14" i="3"/>
  <c r="D6" i="3"/>
  <c r="G16" i="1"/>
  <c r="C61" i="3" s="1"/>
  <c r="G18" i="1"/>
  <c r="C63" i="3" s="1"/>
  <c r="G20" i="1"/>
  <c r="C65" i="3" s="1"/>
  <c r="G22" i="1"/>
  <c r="C67" i="3" s="1"/>
  <c r="G15" i="1"/>
  <c r="C60" i="3" s="1"/>
  <c r="G17" i="1"/>
  <c r="C62" i="3" s="1"/>
  <c r="G19" i="1"/>
  <c r="C64" i="3" s="1"/>
  <c r="G21" i="1"/>
  <c r="C66" i="3" s="1"/>
  <c r="G13" i="1"/>
  <c r="C58" i="3" s="1"/>
  <c r="G14" i="1"/>
  <c r="C59" i="3" s="1"/>
  <c r="D18" i="3"/>
  <c r="D10" i="3"/>
  <c r="F10" i="3"/>
  <c r="D16" i="3"/>
  <c r="E17" i="3"/>
  <c r="F24" i="3"/>
  <c r="F8" i="3"/>
  <c r="D20" i="3"/>
  <c r="D12" i="3"/>
  <c r="F14" i="3" l="1"/>
  <c r="F18" i="3"/>
  <c r="C27" i="3"/>
  <c r="C68" i="3"/>
  <c r="G26" i="3"/>
  <c r="G50" i="3"/>
  <c r="E9" i="3"/>
  <c r="C30" i="3"/>
  <c r="C69" i="3"/>
  <c r="E13" i="3"/>
  <c r="E61" i="3"/>
  <c r="E15" i="3"/>
  <c r="E62" i="3"/>
  <c r="E11" i="3"/>
  <c r="H27" i="3"/>
  <c r="H68" i="3"/>
  <c r="F16" i="3"/>
  <c r="F45" i="3"/>
  <c r="F20" i="3"/>
  <c r="F47" i="3"/>
  <c r="E30" i="3"/>
  <c r="E69" i="3"/>
  <c r="E23" i="3"/>
  <c r="E27" i="3"/>
  <c r="E68" i="3"/>
  <c r="E34" i="3"/>
  <c r="E70" i="3"/>
  <c r="A33" i="3"/>
  <c r="A34" i="3" s="1"/>
  <c r="A35" i="3" s="1"/>
  <c r="A36" i="3" s="1"/>
  <c r="A52" i="3"/>
  <c r="E19" i="3"/>
  <c r="E21" i="3"/>
  <c r="E25" i="3"/>
  <c r="C23" i="3"/>
  <c r="C25" i="3"/>
  <c r="C21" i="3"/>
  <c r="C7" i="3"/>
  <c r="C11" i="3"/>
  <c r="C13" i="3"/>
  <c r="C19" i="3"/>
  <c r="C9" i="3"/>
  <c r="C15" i="3"/>
  <c r="C17" i="3"/>
</calcChain>
</file>

<file path=xl/sharedStrings.xml><?xml version="1.0" encoding="utf-8"?>
<sst xmlns="http://schemas.openxmlformats.org/spreadsheetml/2006/main" count="743" uniqueCount="307">
  <si>
    <t>Drive Time Survey</t>
  </si>
  <si>
    <t>Historical Data</t>
  </si>
  <si>
    <t>Broadway</t>
  </si>
  <si>
    <t>Year</t>
  </si>
  <si>
    <t>Trip Time</t>
  </si>
  <si>
    <t>Mean Total Trip Time</t>
  </si>
  <si>
    <t>Difference from Prior Study Year</t>
  </si>
  <si>
    <t>Difference from 1987</t>
  </si>
  <si>
    <t>Mean Total Time Stopped</t>
  </si>
  <si>
    <t>Time Stopped</t>
  </si>
  <si>
    <t>Mean Percent of Time Stopped</t>
  </si>
  <si>
    <t>Percent of Time Stopped</t>
  </si>
  <si>
    <t>Arapahoe Avenue</t>
  </si>
  <si>
    <t>Difference from 1986</t>
  </si>
  <si>
    <t>Notes:</t>
  </si>
  <si>
    <t>- 2000 travel time significantly impacted by Skunk Creek Underpass construction</t>
  </si>
  <si>
    <t>28th Street</t>
  </si>
  <si>
    <t>- 2000 travel time significantly impacted by Goose Creek Underpass construction</t>
  </si>
  <si>
    <t>Segment:</t>
  </si>
  <si>
    <t>9th Street to 55th Street</t>
  </si>
  <si>
    <t xml:space="preserve">Segment: </t>
  </si>
  <si>
    <t>Greenbriar to Violet</t>
  </si>
  <si>
    <t>Table Mesa to Kalmia</t>
  </si>
  <si>
    <t>Distance:</t>
  </si>
  <si>
    <t>Mean Travel Speed (mph)</t>
  </si>
  <si>
    <t>feet</t>
  </si>
  <si>
    <t>miles</t>
  </si>
  <si>
    <t>Edgewood/Valmont</t>
  </si>
  <si>
    <t>Distance</t>
  </si>
  <si>
    <t>Canyon</t>
  </si>
  <si>
    <t>Walnut</t>
  </si>
  <si>
    <t>Pearl</t>
  </si>
  <si>
    <t>Spruce</t>
  </si>
  <si>
    <t>Pine</t>
  </si>
  <si>
    <t>Feet</t>
  </si>
  <si>
    <t>Miles</t>
  </si>
  <si>
    <t>Arapahoe</t>
  </si>
  <si>
    <t>28th St</t>
  </si>
  <si>
    <t>Signals per mile</t>
  </si>
  <si>
    <t>Kalmia</t>
  </si>
  <si>
    <t>Iris</t>
  </si>
  <si>
    <t>Glennwood</t>
  </si>
  <si>
    <t>Valmont</t>
  </si>
  <si>
    <t>Mapleton</t>
  </si>
  <si>
    <t>Colorado</t>
  </si>
  <si>
    <t>Number of Traffic Signals</t>
  </si>
  <si>
    <t>Traffic Signals per mile</t>
  </si>
  <si>
    <t>Table Mesa</t>
  </si>
  <si>
    <t>Signals per mile for Colorado to Kalmia</t>
  </si>
  <si>
    <t>55th</t>
  </si>
  <si>
    <t>47th</t>
  </si>
  <si>
    <t>Foothills</t>
  </si>
  <si>
    <t>30th</t>
  </si>
  <si>
    <t>28th</t>
  </si>
  <si>
    <t>Folsom</t>
  </si>
  <si>
    <t>19th</t>
  </si>
  <si>
    <t>13th</t>
  </si>
  <si>
    <t>Balsam</t>
  </si>
  <si>
    <t>-stop sign</t>
  </si>
  <si>
    <t>Airport Road</t>
  </si>
  <si>
    <t>9th</t>
  </si>
  <si>
    <t>15th</t>
  </si>
  <si>
    <t>17th</t>
  </si>
  <si>
    <t>26th</t>
  </si>
  <si>
    <t>29th</t>
  </si>
  <si>
    <t>33rd</t>
  </si>
  <si>
    <t>38th</t>
  </si>
  <si>
    <t>Eisenhower</t>
  </si>
  <si>
    <t>Conestoga</t>
  </si>
  <si>
    <t>Naropa</t>
  </si>
  <si>
    <t>-signal and stop signs</t>
  </si>
  <si>
    <t>Composite Corridor Traffic Volume</t>
  </si>
  <si>
    <t>Composite Corridor Traffic Volume - Station 7001 (Arapahoe w.o. 23rd)</t>
  </si>
  <si>
    <t>- Composite Traffic volume composed of Station #7021 and #7022</t>
  </si>
  <si>
    <t>- Composite Traffic volume composed of Station #7005, #7006, and #7010</t>
  </si>
  <si>
    <t>R Square</t>
  </si>
  <si>
    <t>Intercept</t>
  </si>
  <si>
    <t>X Variable 1</t>
  </si>
  <si>
    <t>Average Growth Rate</t>
  </si>
  <si>
    <t>North Boulder</t>
  </si>
  <si>
    <t>Linden</t>
  </si>
  <si>
    <t>Quince</t>
  </si>
  <si>
    <t>Violet</t>
  </si>
  <si>
    <t>North</t>
  </si>
  <si>
    <t>Alpine</t>
  </si>
  <si>
    <t>University</t>
  </si>
  <si>
    <t>Pennsylvania</t>
  </si>
  <si>
    <t>College</t>
  </si>
  <si>
    <t>Euclid/16th</t>
  </si>
  <si>
    <t>Regent/20th</t>
  </si>
  <si>
    <t>Baseline</t>
  </si>
  <si>
    <t>27th</t>
  </si>
  <si>
    <t>Dartmouth</t>
  </si>
  <si>
    <t>Hanover</t>
  </si>
  <si>
    <t>Greenbriar</t>
  </si>
  <si>
    <t>ARAPAHOE - 9TH TO 63RD 4/02</t>
  </si>
  <si>
    <t>DIRECTION</t>
  </si>
  <si>
    <t>FROM</t>
  </si>
  <si>
    <t>SPEED LIMIT</t>
  </si>
  <si>
    <t>TO</t>
  </si>
  <si>
    <t>DISTANCE/FT.</t>
  </si>
  <si>
    <t>SIGN #</t>
  </si>
  <si>
    <t>LOC. INFO.</t>
  </si>
  <si>
    <t>EB</t>
  </si>
  <si>
    <t>9TH</t>
  </si>
  <si>
    <t>SL30</t>
  </si>
  <si>
    <t>259' E.O. 9TH</t>
  </si>
  <si>
    <t>SL35</t>
  </si>
  <si>
    <t>157' E.O. FOLSOM</t>
  </si>
  <si>
    <t>SL45</t>
  </si>
  <si>
    <t>527' E.O. 33RD</t>
  </si>
  <si>
    <t>63RD</t>
  </si>
  <si>
    <t>WB</t>
  </si>
  <si>
    <t>335' W.O. 38TH</t>
  </si>
  <si>
    <t>277' W.O. FOLSOM</t>
  </si>
  <si>
    <t>Weighted Speed Limit</t>
  </si>
  <si>
    <t>Conversion Factors</t>
  </si>
  <si>
    <t>Feet/Mile</t>
  </si>
  <si>
    <t>Minutes/Hour</t>
  </si>
  <si>
    <t>Total (9th to 63rd)</t>
  </si>
  <si>
    <t>Total (9th to 55th)</t>
  </si>
  <si>
    <t>Speed Limit-Based Drive Time</t>
  </si>
  <si>
    <t>Total Circuit (both directions- 9th to 55th - 55th to 9th)</t>
  </si>
  <si>
    <t>Total Circuit (average)</t>
  </si>
  <si>
    <t>Composite Corridor Speed Limit</t>
  </si>
  <si>
    <t>Speed Limit-based Minimum Travel Time</t>
  </si>
  <si>
    <t>BROADWAY - GREENBRIAR TO LEEHILL 4/02</t>
  </si>
  <si>
    <t>NB</t>
  </si>
  <si>
    <t>GREENBRIAR</t>
  </si>
  <si>
    <t>850' N.O. 27TH WY</t>
  </si>
  <si>
    <t>430' N.O. REGENT</t>
  </si>
  <si>
    <t>SL25</t>
  </si>
  <si>
    <t>242' N.O. CANYON</t>
  </si>
  <si>
    <t>133' N.O. PORTLAND</t>
  </si>
  <si>
    <t>45' N.O. ELDER</t>
  </si>
  <si>
    <t>SL40</t>
  </si>
  <si>
    <t>71' N.O. REDWOOD</t>
  </si>
  <si>
    <t>LEEHILL</t>
  </si>
  <si>
    <t>SB</t>
  </si>
  <si>
    <t>1054' S.O. UTICA</t>
  </si>
  <si>
    <t>179' S.O. EVERGREEN</t>
  </si>
  <si>
    <t>29' S.O. MAXWELL</t>
  </si>
  <si>
    <t>169' S.O. WALNUT</t>
  </si>
  <si>
    <t>295' S.O. 20TH</t>
  </si>
  <si>
    <t>670' S.O. BASELINE</t>
  </si>
  <si>
    <t>DRIVING DIFF.</t>
  </si>
  <si>
    <t>115'</t>
  </si>
  <si>
    <t>ARCVIEW DIFF</t>
  </si>
  <si>
    <t>131'</t>
  </si>
  <si>
    <t>Total (Greenbriar to Violet)</t>
  </si>
  <si>
    <t>Total (Greenbriar to Lee Hill)</t>
  </si>
  <si>
    <t>Total Circuit (both directions- Greenbriar to Violet - Violet to Greenbriar)</t>
  </si>
  <si>
    <t>Percent of Optimal Travel Time</t>
  </si>
  <si>
    <t>BALSAM/EDGEWOOD/VALMONT - 9TH TO 55TH 4/02</t>
  </si>
  <si>
    <t>195' E.O. FOLSOM</t>
  </si>
  <si>
    <t>671' E.O. 47TH</t>
  </si>
  <si>
    <t>55TH</t>
  </si>
  <si>
    <t>134' W.O. STERLING</t>
  </si>
  <si>
    <t xml:space="preserve">WB </t>
  </si>
  <si>
    <t>50' W.O.25TH</t>
  </si>
  <si>
    <t>28TH - TABLE MESA TO JAY RD 4/02</t>
  </si>
  <si>
    <t>TABLE MESA</t>
  </si>
  <si>
    <t>SL55</t>
  </si>
  <si>
    <t>CDOT</t>
  </si>
  <si>
    <t>490' N.O. DIAGONAL</t>
  </si>
  <si>
    <t>JAY RD</t>
  </si>
  <si>
    <t>592' S.O. KALMIA</t>
  </si>
  <si>
    <t>833' S.O. COLORADO</t>
  </si>
  <si>
    <t>SL65</t>
  </si>
  <si>
    <t>M.M.38</t>
  </si>
  <si>
    <t>CDOT/M.M. 38</t>
  </si>
  <si>
    <t>Total (Table Mesa to Jay Rd)</t>
  </si>
  <si>
    <t>Total (Table Mesa to Kalmia Avenue)</t>
  </si>
  <si>
    <t>Weighted Speed Limit (Tmesa to Kalmia)</t>
  </si>
  <si>
    <t>Total (Jay Rd to Table Mesa)</t>
  </si>
  <si>
    <t>Total (Kalmia Avenue to Table Mesa)</t>
  </si>
  <si>
    <t>Weighted Speed Limit (Kalmia to Tmesa)</t>
  </si>
  <si>
    <t>Total Circuit (both directions- Table Mesa to Kalmia - Kalmia to Table Mesa)</t>
  </si>
  <si>
    <t>Total Circuit Weighted Speed Limit (average)</t>
  </si>
  <si>
    <t>Composite Corridor Speed Limit (mph)</t>
  </si>
  <si>
    <t>Speed Limit-based Minimum Travel Time (min.)</t>
  </si>
  <si>
    <t>Total (9th Street to 55th Street)</t>
  </si>
  <si>
    <t>Weighted Speed Limit (9th Street to 55th Street)</t>
  </si>
  <si>
    <t>Total (55th Street to 9th Street)</t>
  </si>
  <si>
    <t>Weighted Speed Limit (55th Street to 9th Street)</t>
  </si>
  <si>
    <t>Optimal travel time includes no delay at the two all-way stop sign locations (13th Street, 19th Street)</t>
  </si>
  <si>
    <t>Composite Corridor Traffic Volume - Station 7020 (Valmont Rd e.o. 34th)</t>
  </si>
  <si>
    <t>% of Optimal Travel Time</t>
  </si>
  <si>
    <t>Optimal Travel Time</t>
  </si>
  <si>
    <t>Foothills Parkway</t>
  </si>
  <si>
    <t>South Boulder Road to Diagonal Highway</t>
  </si>
  <si>
    <t>Diagonal</t>
  </si>
  <si>
    <t>South Boulder Road</t>
  </si>
  <si>
    <t>- Composite Traffic volume composed of Station #7014 (Foothills south of Arapahoe)</t>
  </si>
  <si>
    <t>NB/SB</t>
  </si>
  <si>
    <t>Difference from 2006</t>
  </si>
  <si>
    <t>Pearl Street/Parkway</t>
  </si>
  <si>
    <t>Difference from 2007</t>
  </si>
  <si>
    <t>11th/Pearl to 61st Street</t>
  </si>
  <si>
    <t>11th/Pearl</t>
  </si>
  <si>
    <t>11th/Walnut</t>
  </si>
  <si>
    <t>Walnut/Bway</t>
  </si>
  <si>
    <t>Walnut/13th</t>
  </si>
  <si>
    <t>Walnut/14th</t>
  </si>
  <si>
    <t>Walnut/15th</t>
  </si>
  <si>
    <t>15th/Pearl</t>
  </si>
  <si>
    <t>Junction Pl</t>
  </si>
  <si>
    <t>Foothills W-ramp</t>
  </si>
  <si>
    <t>Foothills E-ramp</t>
  </si>
  <si>
    <t>49th</t>
  </si>
  <si>
    <t>Butte Mill/63rd</t>
  </si>
  <si>
    <t>61st</t>
  </si>
  <si>
    <t>20th</t>
  </si>
  <si>
    <t>- There are two less traffic signals in the WB direction (no 15th/Spruce and 11th/Spruce)</t>
  </si>
  <si>
    <t>Speed Limit evaluation</t>
  </si>
  <si>
    <t>Street</t>
  </si>
  <si>
    <t>Direction</t>
  </si>
  <si>
    <t>Posted Speed</t>
  </si>
  <si>
    <t>Nearest cross street</t>
  </si>
  <si>
    <t>carte ID</t>
  </si>
  <si>
    <t xml:space="preserve">Notes </t>
  </si>
  <si>
    <t>Pearl St</t>
  </si>
  <si>
    <t>E/B</t>
  </si>
  <si>
    <t>20MPH</t>
  </si>
  <si>
    <t xml:space="preserve"> west of 10th St</t>
  </si>
  <si>
    <t>126'</t>
  </si>
  <si>
    <t xml:space="preserve">11th ST </t>
  </si>
  <si>
    <t>S/B</t>
  </si>
  <si>
    <t>north of Pearl St</t>
  </si>
  <si>
    <t>133'</t>
  </si>
  <si>
    <t>Walnut ST</t>
  </si>
  <si>
    <t>west of 10th St</t>
  </si>
  <si>
    <t>305'</t>
  </si>
  <si>
    <t>west of 13th ST</t>
  </si>
  <si>
    <t>165'</t>
  </si>
  <si>
    <t>west of 15th ST</t>
  </si>
  <si>
    <t>175'</t>
  </si>
  <si>
    <t>15th St</t>
  </si>
  <si>
    <t>N/B</t>
  </si>
  <si>
    <t>none</t>
  </si>
  <si>
    <t xml:space="preserve">none posted from Arapahoe Av to north of Pearl St </t>
  </si>
  <si>
    <t>west of 17th St</t>
  </si>
  <si>
    <t>134'</t>
  </si>
  <si>
    <t>30MPH</t>
  </si>
  <si>
    <t>east of 18th St</t>
  </si>
  <si>
    <t>west of 22nd St</t>
  </si>
  <si>
    <t>45'</t>
  </si>
  <si>
    <t>east of Folsom St</t>
  </si>
  <si>
    <t>217'</t>
  </si>
  <si>
    <t>east of 28th St</t>
  </si>
  <si>
    <t>120'</t>
  </si>
  <si>
    <t>Pearl Pkwy</t>
  </si>
  <si>
    <t>35MPH</t>
  </si>
  <si>
    <t>east of Frontier Av</t>
  </si>
  <si>
    <t>72'</t>
  </si>
  <si>
    <t>west of 47th St</t>
  </si>
  <si>
    <t>58'</t>
  </si>
  <si>
    <t>40MPH</t>
  </si>
  <si>
    <t>east of 49th St</t>
  </si>
  <si>
    <t>472'</t>
  </si>
  <si>
    <t>west of 55th ST</t>
  </si>
  <si>
    <t>1315'</t>
  </si>
  <si>
    <t>east of 55th ST</t>
  </si>
  <si>
    <t xml:space="preserve">east of 61st </t>
  </si>
  <si>
    <t>county</t>
  </si>
  <si>
    <t>Nearest Cross Street</t>
  </si>
  <si>
    <t>W/B</t>
  </si>
  <si>
    <t xml:space="preserve">west of 61st </t>
  </si>
  <si>
    <t>125'</t>
  </si>
  <si>
    <t>east of 1st bridge over Butte Mill Ditch</t>
  </si>
  <si>
    <t>25'</t>
  </si>
  <si>
    <t>west of Butte Mill Rd</t>
  </si>
  <si>
    <t>1843'</t>
  </si>
  <si>
    <t>west of 55th St</t>
  </si>
  <si>
    <t>696'</t>
  </si>
  <si>
    <t>west of "east" yards entrance</t>
  </si>
  <si>
    <t>540'</t>
  </si>
  <si>
    <t>404'</t>
  </si>
  <si>
    <t>west of N/B on ramp</t>
  </si>
  <si>
    <t>170'</t>
  </si>
  <si>
    <t>west of Frontier Av</t>
  </si>
  <si>
    <t>west of 30th St</t>
  </si>
  <si>
    <t>west of 28th St</t>
  </si>
  <si>
    <t>209'</t>
  </si>
  <si>
    <t>west of 18th St</t>
  </si>
  <si>
    <t>236'</t>
  </si>
  <si>
    <t>173'</t>
  </si>
  <si>
    <t>Spruce St</t>
  </si>
  <si>
    <t>west of 15th St</t>
  </si>
  <si>
    <t>143'</t>
  </si>
  <si>
    <t>west of 13th St</t>
  </si>
  <si>
    <t>157'</t>
  </si>
  <si>
    <t>west of Broadway</t>
  </si>
  <si>
    <t>169'</t>
  </si>
  <si>
    <t>Composite Speed Limit</t>
  </si>
  <si>
    <t>Speed Limit based travel Time</t>
  </si>
  <si>
    <t>Average (both directions)</t>
  </si>
  <si>
    <t>Pearl Street</t>
  </si>
  <si>
    <t>11th Street to 61st Street</t>
  </si>
  <si>
    <t>missing 35 mph sign</t>
  </si>
  <si>
    <t>east of 30th St</t>
  </si>
  <si>
    <t>?</t>
  </si>
  <si>
    <t>Was mounted on powerpole. To be replaced by Boulevard Project?</t>
  </si>
  <si>
    <t>- Composite Traffic volume composed of Station #7016 - Pearl St e.o. 28th and Station #7017 - Pearl Pkwy w.o. 55th</t>
  </si>
  <si>
    <t>Regression Data</t>
  </si>
  <si>
    <t>Time</t>
  </si>
  <si>
    <t>Difference from 2006*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</si>
</sst>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\(#,##0.0\)"/>
    <numFmt numFmtId="165" formatCode="#,##0.0_);[Red]\(#,##0.0\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7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39" fontId="0" fillId="0" borderId="4" xfId="0" applyNumberFormat="1" applyBorder="1"/>
    <xf numFmtId="0" fontId="0" fillId="0" borderId="4" xfId="0" applyBorder="1"/>
    <xf numFmtId="9" fontId="0" fillId="0" borderId="4" xfId="0" applyNumberFormat="1" applyBorder="1"/>
    <xf numFmtId="9" fontId="0" fillId="0" borderId="5" xfId="0" applyNumberFormat="1" applyBorder="1"/>
    <xf numFmtId="0" fontId="0" fillId="0" borderId="6" xfId="0" applyBorder="1"/>
    <xf numFmtId="39" fontId="0" fillId="0" borderId="7" xfId="0" applyNumberFormat="1" applyBorder="1"/>
    <xf numFmtId="9" fontId="0" fillId="0" borderId="7" xfId="0" applyNumberFormat="1" applyBorder="1"/>
    <xf numFmtId="9" fontId="0" fillId="0" borderId="8" xfId="0" applyNumberFormat="1" applyBorder="1"/>
    <xf numFmtId="0" fontId="0" fillId="0" borderId="9" xfId="0" applyBorder="1"/>
    <xf numFmtId="39" fontId="0" fillId="0" borderId="10" xfId="0" applyNumberFormat="1" applyBorder="1"/>
    <xf numFmtId="9" fontId="0" fillId="0" borderId="10" xfId="0" applyNumberFormat="1" applyBorder="1"/>
    <xf numFmtId="9" fontId="0" fillId="0" borderId="11" xfId="0" applyNumberFormat="1" applyBorder="1"/>
    <xf numFmtId="0" fontId="0" fillId="0" borderId="12" xfId="0" applyBorder="1" applyAlignment="1"/>
    <xf numFmtId="0" fontId="0" fillId="0" borderId="13" xfId="0" applyBorder="1" applyAlignme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9" fontId="0" fillId="0" borderId="0" xfId="0" applyNumberFormat="1"/>
    <xf numFmtId="0" fontId="0" fillId="0" borderId="14" xfId="0" applyBorder="1" applyAlignment="1">
      <alignment wrapText="1"/>
    </xf>
    <xf numFmtId="9" fontId="0" fillId="0" borderId="15" xfId="0" applyNumberFormat="1" applyBorder="1"/>
    <xf numFmtId="9" fontId="0" fillId="0" borderId="16" xfId="0" applyNumberFormat="1" applyBorder="1"/>
    <xf numFmtId="9" fontId="0" fillId="0" borderId="17" xfId="0" applyNumberFormat="1" applyBorder="1"/>
    <xf numFmtId="39" fontId="0" fillId="0" borderId="18" xfId="0" applyNumberFormat="1" applyBorder="1"/>
    <xf numFmtId="39" fontId="0" fillId="0" borderId="19" xfId="0" applyNumberFormat="1" applyBorder="1"/>
    <xf numFmtId="39" fontId="0" fillId="0" borderId="20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7" fontId="0" fillId="0" borderId="5" xfId="0" applyNumberFormat="1" applyBorder="1"/>
    <xf numFmtId="37" fontId="0" fillId="0" borderId="0" xfId="0" applyNumberFormat="1"/>
    <xf numFmtId="37" fontId="0" fillId="0" borderId="8" xfId="0" applyNumberFormat="1" applyBorder="1"/>
    <xf numFmtId="0" fontId="0" fillId="0" borderId="22" xfId="0" applyBorder="1" applyAlignment="1">
      <alignment horizontal="center" wrapText="1"/>
    </xf>
    <xf numFmtId="37" fontId="0" fillId="0" borderId="23" xfId="0" applyNumberFormat="1" applyBorder="1"/>
    <xf numFmtId="39" fontId="0" fillId="0" borderId="1" xfId="0" applyNumberFormat="1" applyBorder="1"/>
    <xf numFmtId="164" fontId="0" fillId="0" borderId="0" xfId="0" applyNumberFormat="1"/>
    <xf numFmtId="0" fontId="0" fillId="0" borderId="24" xfId="0" applyBorder="1"/>
    <xf numFmtId="0" fontId="0" fillId="0" borderId="25" xfId="0" applyBorder="1" applyAlignment="1">
      <alignment wrapText="1"/>
    </xf>
    <xf numFmtId="37" fontId="0" fillId="0" borderId="26" xfId="0" applyNumberFormat="1" applyBorder="1"/>
    <xf numFmtId="0" fontId="0" fillId="0" borderId="25" xfId="0" applyBorder="1" applyAlignment="1">
      <alignment horizontal="center" wrapText="1"/>
    </xf>
    <xf numFmtId="0" fontId="0" fillId="0" borderId="0" xfId="0" applyFill="1" applyBorder="1" applyAlignment="1"/>
    <xf numFmtId="10" fontId="0" fillId="0" borderId="0" xfId="0" applyNumberFormat="1"/>
    <xf numFmtId="0" fontId="0" fillId="0" borderId="0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/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9" fontId="6" fillId="0" borderId="0" xfId="0" applyNumberFormat="1" applyFont="1"/>
    <xf numFmtId="0" fontId="4" fillId="0" borderId="0" xfId="0" applyFont="1"/>
    <xf numFmtId="0" fontId="5" fillId="0" borderId="0" xfId="0" applyFont="1"/>
    <xf numFmtId="0" fontId="0" fillId="2" borderId="0" xfId="0" applyFill="1" applyBorder="1" applyAlignment="1">
      <alignment horizontal="center"/>
    </xf>
    <xf numFmtId="37" fontId="0" fillId="2" borderId="0" xfId="0" applyNumberFormat="1" applyFill="1" applyBorder="1" applyAlignment="1">
      <alignment horizontal="right"/>
    </xf>
    <xf numFmtId="37" fontId="4" fillId="0" borderId="0" xfId="0" applyNumberFormat="1" applyFont="1"/>
    <xf numFmtId="39" fontId="4" fillId="0" borderId="0" xfId="0" applyNumberFormat="1" applyFont="1"/>
    <xf numFmtId="37" fontId="4" fillId="0" borderId="0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3" xfId="0" applyBorder="1"/>
    <xf numFmtId="0" fontId="0" fillId="0" borderId="38" xfId="0" applyBorder="1"/>
    <xf numFmtId="0" fontId="0" fillId="2" borderId="0" xfId="0" applyFill="1" applyBorder="1"/>
    <xf numFmtId="37" fontId="0" fillId="0" borderId="33" xfId="0" applyNumberFormat="1" applyBorder="1"/>
    <xf numFmtId="37" fontId="0" fillId="0" borderId="0" xfId="0" applyNumberFormat="1" applyBorder="1"/>
    <xf numFmtId="37" fontId="0" fillId="2" borderId="0" xfId="0" applyNumberFormat="1" applyFill="1" applyBorder="1"/>
    <xf numFmtId="37" fontId="0" fillId="0" borderId="38" xfId="0" applyNumberFormat="1" applyBorder="1"/>
    <xf numFmtId="37" fontId="6" fillId="0" borderId="0" xfId="0" applyNumberFormat="1" applyFont="1"/>
    <xf numFmtId="0" fontId="0" fillId="0" borderId="40" xfId="0" applyBorder="1" applyAlignment="1">
      <alignment horizontal="left"/>
    </xf>
    <xf numFmtId="9" fontId="0" fillId="0" borderId="41" xfId="0" applyNumberFormat="1" applyBorder="1"/>
    <xf numFmtId="37" fontId="0" fillId="0" borderId="42" xfId="0" applyNumberFormat="1" applyBorder="1"/>
    <xf numFmtId="164" fontId="4" fillId="0" borderId="0" xfId="0" applyNumberFormat="1" applyFont="1"/>
    <xf numFmtId="37" fontId="0" fillId="0" borderId="33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38" xfId="0" applyNumberFormat="1" applyBorder="1" applyAlignment="1">
      <alignment horizontal="right"/>
    </xf>
    <xf numFmtId="37" fontId="4" fillId="0" borderId="30" xfId="0" applyNumberFormat="1" applyFont="1" applyBorder="1" applyAlignment="1">
      <alignment horizontal="center"/>
    </xf>
    <xf numFmtId="0" fontId="0" fillId="2" borderId="33" xfId="0" applyFill="1" applyBorder="1" applyAlignment="1">
      <alignment horizontal="center"/>
    </xf>
    <xf numFmtId="37" fontId="0" fillId="2" borderId="33" xfId="0" applyNumberFormat="1" applyFill="1" applyBorder="1"/>
    <xf numFmtId="0" fontId="0" fillId="0" borderId="43" xfId="0" applyBorder="1" applyAlignment="1">
      <alignment horizontal="center" wrapText="1"/>
    </xf>
    <xf numFmtId="164" fontId="6" fillId="0" borderId="0" xfId="0" applyNumberFormat="1" applyFont="1"/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9" fontId="0" fillId="0" borderId="0" xfId="0" applyNumberFormat="1"/>
    <xf numFmtId="37" fontId="0" fillId="0" borderId="11" xfId="0" applyNumberFormat="1" applyBorder="1"/>
    <xf numFmtId="0" fontId="0" fillId="0" borderId="44" xfId="0" applyBorder="1"/>
    <xf numFmtId="39" fontId="0" fillId="0" borderId="45" xfId="0" applyNumberFormat="1" applyBorder="1"/>
    <xf numFmtId="9" fontId="0" fillId="0" borderId="45" xfId="0" applyNumberFormat="1" applyBorder="1"/>
    <xf numFmtId="9" fontId="0" fillId="0" borderId="46" xfId="0" applyNumberFormat="1" applyBorder="1"/>
    <xf numFmtId="37" fontId="0" fillId="0" borderId="47" xfId="0" applyNumberFormat="1" applyBorder="1"/>
    <xf numFmtId="39" fontId="0" fillId="0" borderId="48" xfId="0" applyNumberFormat="1" applyBorder="1"/>
    <xf numFmtId="9" fontId="0" fillId="0" borderId="47" xfId="0" applyNumberFormat="1" applyBorder="1"/>
    <xf numFmtId="37" fontId="0" fillId="0" borderId="49" xfId="0" applyNumberFormat="1" applyBorder="1"/>
    <xf numFmtId="37" fontId="0" fillId="0" borderId="50" xfId="0" applyNumberFormat="1" applyBorder="1"/>
    <xf numFmtId="0" fontId="0" fillId="0" borderId="49" xfId="0" applyBorder="1"/>
    <xf numFmtId="38" fontId="0" fillId="0" borderId="0" xfId="0" applyNumberFormat="1"/>
    <xf numFmtId="0" fontId="0" fillId="0" borderId="12" xfId="0" applyBorder="1" applyAlignment="1"/>
    <xf numFmtId="0" fontId="0" fillId="0" borderId="13" xfId="0" applyBorder="1" applyAlignment="1"/>
    <xf numFmtId="37" fontId="0" fillId="0" borderId="55" xfId="0" applyNumberFormat="1" applyBorder="1"/>
    <xf numFmtId="37" fontId="0" fillId="0" borderId="55" xfId="0" applyNumberFormat="1" applyFill="1" applyBorder="1"/>
    <xf numFmtId="0" fontId="6" fillId="0" borderId="1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55" xfId="0" applyBorder="1"/>
    <xf numFmtId="0" fontId="6" fillId="0" borderId="0" xfId="0" applyFont="1"/>
    <xf numFmtId="37" fontId="0" fillId="0" borderId="26" xfId="0" applyNumberFormat="1" applyFill="1" applyBorder="1"/>
    <xf numFmtId="37" fontId="0" fillId="0" borderId="49" xfId="0" applyNumberFormat="1" applyFill="1" applyBorder="1"/>
    <xf numFmtId="0" fontId="6" fillId="0" borderId="0" xfId="0" applyFont="1" applyFill="1"/>
    <xf numFmtId="37" fontId="0" fillId="0" borderId="0" xfId="0" applyNumberFormat="1" applyFill="1"/>
    <xf numFmtId="164" fontId="0" fillId="0" borderId="0" xfId="0" applyNumberFormat="1" applyFill="1"/>
    <xf numFmtId="0" fontId="6" fillId="0" borderId="0" xfId="0" quotePrefix="1" applyFont="1"/>
    <xf numFmtId="0" fontId="2" fillId="0" borderId="0" xfId="1"/>
    <xf numFmtId="0" fontId="8" fillId="0" borderId="57" xfId="1" applyFont="1" applyBorder="1" applyAlignment="1">
      <alignment horizontal="center"/>
    </xf>
    <xf numFmtId="0" fontId="2" fillId="0" borderId="0" xfId="1" applyAlignment="1">
      <alignment horizontal="center"/>
    </xf>
    <xf numFmtId="0" fontId="2" fillId="4" borderId="38" xfId="1" applyFill="1" applyBorder="1" applyAlignment="1">
      <alignment horizontal="center"/>
    </xf>
    <xf numFmtId="0" fontId="2" fillId="0" borderId="0" xfId="1" applyAlignment="1">
      <alignment wrapText="1"/>
    </xf>
    <xf numFmtId="0" fontId="2" fillId="5" borderId="0" xfId="1" applyFill="1" applyAlignment="1">
      <alignment horizontal="center"/>
    </xf>
    <xf numFmtId="0" fontId="2" fillId="5" borderId="0" xfId="1" applyFill="1"/>
    <xf numFmtId="0" fontId="2" fillId="6" borderId="0" xfId="1" applyFill="1" applyAlignment="1">
      <alignment horizontal="center"/>
    </xf>
    <xf numFmtId="0" fontId="2" fillId="6" borderId="0" xfId="1" applyFill="1"/>
    <xf numFmtId="37" fontId="2" fillId="0" borderId="0" xfId="1" applyNumberFormat="1"/>
    <xf numFmtId="165" fontId="2" fillId="0" borderId="0" xfId="1" applyNumberFormat="1"/>
    <xf numFmtId="40" fontId="2" fillId="0" borderId="0" xfId="1" applyNumberFormat="1"/>
    <xf numFmtId="39" fontId="0" fillId="0" borderId="0" xfId="0" applyNumberFormat="1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1" fillId="0" borderId="0" xfId="1" applyFont="1" applyAlignment="1">
      <alignment horizontal="center"/>
    </xf>
    <xf numFmtId="165" fontId="9" fillId="0" borderId="0" xfId="1" applyNumberFormat="1" applyFont="1"/>
    <xf numFmtId="0" fontId="6" fillId="0" borderId="0" xfId="0" applyFont="1" applyAlignment="1">
      <alignment horizontal="center" wrapText="1"/>
    </xf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/>
    <xf numFmtId="40" fontId="9" fillId="0" borderId="0" xfId="1" applyNumberFormat="1" applyFont="1"/>
    <xf numFmtId="0" fontId="0" fillId="5" borderId="0" xfId="0" applyFill="1" applyAlignment="1">
      <alignment horizontal="center"/>
    </xf>
    <xf numFmtId="37" fontId="0" fillId="0" borderId="50" xfId="0" applyNumberFormat="1" applyFill="1" applyBorder="1"/>
    <xf numFmtId="0" fontId="0" fillId="0" borderId="0" xfId="0" quotePrefix="1" applyFill="1"/>
    <xf numFmtId="10" fontId="0" fillId="0" borderId="0" xfId="0" applyNumberFormat="1" applyFill="1" applyBorder="1"/>
    <xf numFmtId="9" fontId="0" fillId="0" borderId="59" xfId="0" applyNumberFormat="1" applyBorder="1"/>
    <xf numFmtId="0" fontId="0" fillId="0" borderId="60" xfId="0" applyBorder="1"/>
    <xf numFmtId="40" fontId="0" fillId="0" borderId="0" xfId="0" applyNumberFormat="1"/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/>
    <xf numFmtId="0" fontId="0" fillId="0" borderId="27" xfId="0" applyBorder="1" applyAlignment="1"/>
    <xf numFmtId="0" fontId="0" fillId="0" borderId="54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0" xfId="1" applyAlignment="1">
      <alignment horizontal="center"/>
    </xf>
    <xf numFmtId="0" fontId="2" fillId="4" borderId="0" xfId="1" applyFill="1" applyAlignment="1">
      <alignment horizontal="center"/>
    </xf>
    <xf numFmtId="0" fontId="8" fillId="0" borderId="58" xfId="1" applyFont="1" applyBorder="1" applyAlignment="1">
      <alignment horizontal="center"/>
    </xf>
    <xf numFmtId="0" fontId="2" fillId="0" borderId="56" xfId="1" applyBorder="1" applyAlignment="1">
      <alignment horizontal="center" vertical="center" wrapText="1"/>
    </xf>
    <xf numFmtId="0" fontId="2" fillId="0" borderId="33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10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3.xml"/><Relationship Id="rId7" Type="http://schemas.openxmlformats.org/officeDocument/2006/relationships/chartsheet" Target="chartsheets/sheet1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7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chartsheet" Target="chartsheets/sheet4.xml"/><Relationship Id="rId19" Type="http://schemas.openxmlformats.org/officeDocument/2006/relationships/worksheet" Target="worksheets/sheet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4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Arapahoe Travel Time Survey
(9th to 55th)</a:t>
            </a:r>
          </a:p>
        </c:rich>
      </c:tx>
      <c:layout>
        <c:manualLayout>
          <c:xMode val="edge"/>
          <c:yMode val="edge"/>
          <c:x val="0.33825079030558647"/>
          <c:y val="1.97740112994351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06743940990516E-2"/>
          <c:y val="9.7457627118644072E-2"/>
          <c:w val="0.81559536354056905"/>
          <c:h val="0.8135593220339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Arapahoe!$B$11</c:f>
              <c:strCache>
                <c:ptCount val="1"/>
                <c:pt idx="0">
                  <c:v>Mean Total Trip Time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Arapahoe!$A$13:$A$26</c:f>
              <c:numCache>
                <c:formatCode>General</c:formatCode>
                <c:ptCount val="14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  <c:pt idx="12">
                  <c:v>2012</c:v>
                </c:pt>
                <c:pt idx="13">
                  <c:v>2014</c:v>
                </c:pt>
              </c:numCache>
            </c:numRef>
          </c:cat>
          <c:val>
            <c:numRef>
              <c:f>Arapahoe!$B$13:$B$26</c:f>
              <c:numCache>
                <c:formatCode>#,##0.00_);\(#,##0.00\)</c:formatCode>
                <c:ptCount val="14"/>
                <c:pt idx="0">
                  <c:v>9.1166666666666671</c:v>
                </c:pt>
                <c:pt idx="1">
                  <c:v>10.183333333333334</c:v>
                </c:pt>
                <c:pt idx="2">
                  <c:v>10.066666666666666</c:v>
                </c:pt>
                <c:pt idx="3">
                  <c:v>11.05</c:v>
                </c:pt>
                <c:pt idx="4">
                  <c:v>10.75</c:v>
                </c:pt>
                <c:pt idx="5">
                  <c:v>9.7166666666666668</c:v>
                </c:pt>
                <c:pt idx="6">
                  <c:v>10.383333333333333</c:v>
                </c:pt>
                <c:pt idx="7">
                  <c:v>17.783333333333335</c:v>
                </c:pt>
                <c:pt idx="8">
                  <c:v>17.233333333333334</c:v>
                </c:pt>
                <c:pt idx="9">
                  <c:v>9.5833333333333339</c:v>
                </c:pt>
                <c:pt idx="10">
                  <c:v>9.1</c:v>
                </c:pt>
                <c:pt idx="11">
                  <c:v>9.6333333333333329</c:v>
                </c:pt>
                <c:pt idx="13">
                  <c:v>9.4333333333333336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3FC-9854-2B235AE26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39016"/>
        <c:axId val="244140192"/>
      </c:barChart>
      <c:lineChart>
        <c:grouping val="standard"/>
        <c:varyColors val="0"/>
        <c:ser>
          <c:idx val="0"/>
          <c:order val="1"/>
          <c:tx>
            <c:strRef>
              <c:f>Arapahoe!$O$12</c:f>
              <c:strCache>
                <c:ptCount val="1"/>
                <c:pt idx="0">
                  <c:v>Composite Corridor Traffic Volume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Arapahoe!$A$13:$A$26</c:f>
              <c:numCache>
                <c:formatCode>General</c:formatCode>
                <c:ptCount val="14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  <c:pt idx="12">
                  <c:v>2012</c:v>
                </c:pt>
                <c:pt idx="13">
                  <c:v>2014</c:v>
                </c:pt>
              </c:numCache>
            </c:numRef>
          </c:cat>
          <c:val>
            <c:numRef>
              <c:f>Arapahoe!$O$13:$O$26</c:f>
              <c:numCache>
                <c:formatCode>#,##0_);\(#,##0\)</c:formatCode>
                <c:ptCount val="14"/>
                <c:pt idx="0">
                  <c:v>24617.5</c:v>
                </c:pt>
                <c:pt idx="1">
                  <c:v>22486</c:v>
                </c:pt>
                <c:pt idx="2">
                  <c:v>23762</c:v>
                </c:pt>
                <c:pt idx="3">
                  <c:v>25530</c:v>
                </c:pt>
                <c:pt idx="4">
                  <c:v>25156</c:v>
                </c:pt>
                <c:pt idx="5">
                  <c:v>24515.666666666664</c:v>
                </c:pt>
                <c:pt idx="6">
                  <c:v>24969</c:v>
                </c:pt>
                <c:pt idx="7">
                  <c:v>26763</c:v>
                </c:pt>
                <c:pt idx="8">
                  <c:v>23940.75</c:v>
                </c:pt>
                <c:pt idx="9">
                  <c:v>24132</c:v>
                </c:pt>
                <c:pt idx="10">
                  <c:v>22630.75</c:v>
                </c:pt>
                <c:pt idx="11">
                  <c:v>24035.25</c:v>
                </c:pt>
                <c:pt idx="12">
                  <c:v>20520.694528789485</c:v>
                </c:pt>
                <c:pt idx="13">
                  <c:v>22162.304558252406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F-43FC-9854-2B235AE26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3920"/>
        <c:axId val="244132744"/>
      </c:lineChart>
      <c:catAx>
        <c:axId val="24413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29083245521603"/>
              <c:y val="0.95338983050848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4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41401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Mean Travel Time (minutes)</a:t>
                </a:r>
              </a:p>
            </c:rich>
          </c:tx>
          <c:layout>
            <c:manualLayout>
              <c:xMode val="edge"/>
              <c:yMode val="edge"/>
              <c:x val="1.0537407797681773E-2"/>
              <c:y val="0.37570621468926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39016"/>
        <c:crosses val="autoZero"/>
        <c:crossBetween val="between"/>
      </c:valAx>
      <c:catAx>
        <c:axId val="24413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4132744"/>
        <c:crossesAt val="0"/>
        <c:auto val="0"/>
        <c:lblAlgn val="ctr"/>
        <c:lblOffset val="100"/>
        <c:noMultiLvlLbl val="0"/>
      </c:catAx>
      <c:valAx>
        <c:axId val="244132744"/>
        <c:scaling>
          <c:orientation val="minMax"/>
          <c:max val="30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Traffic Volume (vpd)</a:t>
                </a:r>
              </a:p>
            </c:rich>
          </c:tx>
          <c:layout>
            <c:manualLayout>
              <c:xMode val="edge"/>
              <c:yMode val="edge"/>
              <c:x val="0.95890410958904104"/>
              <c:y val="0.34463276836158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33920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15911485774456"/>
          <c:y val="0.11299435028248619"/>
          <c:w val="0.35405690200210782"/>
          <c:h val="0.120056497175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Pearl Street Travel Time Survey
(11th Street to 61st Street)</a:t>
            </a:r>
          </a:p>
        </c:rich>
      </c:tx>
      <c:layout>
        <c:manualLayout>
          <c:xMode val="edge"/>
          <c:yMode val="edge"/>
          <c:x val="0.34035827186512285"/>
          <c:y val="1.97740112994351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09440170769807E-2"/>
          <c:y val="9.4632812414890813E-2"/>
          <c:w val="0.81875658587987354"/>
          <c:h val="0.806497175141240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Pearl!$B$11</c:f>
              <c:strCache>
                <c:ptCount val="1"/>
                <c:pt idx="0">
                  <c:v>Mean Total Trip Time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Pearl!$A$13:$A$23</c:f>
              <c:numCache>
                <c:formatCode>General</c:formatCode>
                <c:ptCount val="11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  <c:pt idx="3">
                  <c:v>2016</c:v>
                </c:pt>
                <c:pt idx="4">
                  <c:v>2019</c:v>
                </c:pt>
                <c:pt idx="5">
                  <c:v>2022</c:v>
                </c:pt>
                <c:pt idx="6">
                  <c:v>2025</c:v>
                </c:pt>
                <c:pt idx="7">
                  <c:v>2028</c:v>
                </c:pt>
                <c:pt idx="8">
                  <c:v>2031</c:v>
                </c:pt>
                <c:pt idx="9">
                  <c:v>2034</c:v>
                </c:pt>
                <c:pt idx="10">
                  <c:v>2037</c:v>
                </c:pt>
              </c:numCache>
            </c:numRef>
          </c:cat>
          <c:val>
            <c:numRef>
              <c:f>Pearl!$B$13:$B$23</c:f>
              <c:numCache>
                <c:formatCode>#,##0.00_);\(#,##0.00\)</c:formatCode>
                <c:ptCount val="11"/>
                <c:pt idx="0">
                  <c:v>11.183333333333334</c:v>
                </c:pt>
                <c:pt idx="1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4-42E5-97C1-4797C43A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34312"/>
        <c:axId val="244135880"/>
      </c:barChart>
      <c:lineChart>
        <c:grouping val="standard"/>
        <c:varyColors val="0"/>
        <c:ser>
          <c:idx val="0"/>
          <c:order val="1"/>
          <c:tx>
            <c:strRef>
              <c:f>Pearl!$O$12</c:f>
              <c:strCache>
                <c:ptCount val="1"/>
                <c:pt idx="0">
                  <c:v>Composite Corridor Traffic Volume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Pearl!$A$13:$A$23</c:f>
              <c:numCache>
                <c:formatCode>General</c:formatCode>
                <c:ptCount val="11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  <c:pt idx="3">
                  <c:v>2016</c:v>
                </c:pt>
                <c:pt idx="4">
                  <c:v>2019</c:v>
                </c:pt>
                <c:pt idx="5">
                  <c:v>2022</c:v>
                </c:pt>
                <c:pt idx="6">
                  <c:v>2025</c:v>
                </c:pt>
                <c:pt idx="7">
                  <c:v>2028</c:v>
                </c:pt>
                <c:pt idx="8">
                  <c:v>2031</c:v>
                </c:pt>
                <c:pt idx="9">
                  <c:v>2034</c:v>
                </c:pt>
                <c:pt idx="10">
                  <c:v>2037</c:v>
                </c:pt>
              </c:numCache>
            </c:numRef>
          </c:cat>
          <c:val>
            <c:numRef>
              <c:f>Pearl!$O$13:$O$23</c:f>
              <c:numCache>
                <c:formatCode>#,##0_);\(#,##0\)</c:formatCode>
                <c:ptCount val="11"/>
                <c:pt idx="0">
                  <c:v>20298.125</c:v>
                </c:pt>
                <c:pt idx="1">
                  <c:v>18807.5</c:v>
                </c:pt>
                <c:pt idx="2">
                  <c:v>14912.95909477906</c:v>
                </c:pt>
                <c:pt idx="3">
                  <c:v>17081.191362234818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4-42E5-97C1-4797C43A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06968"/>
        <c:axId val="240704616"/>
      </c:lineChart>
      <c:catAx>
        <c:axId val="24413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575342465753294"/>
              <c:y val="0.94350282485875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35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41358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Mean Travel Time (minutes)</a:t>
                </a:r>
              </a:p>
            </c:rich>
          </c:tx>
          <c:layout>
            <c:manualLayout>
              <c:xMode val="edge"/>
              <c:yMode val="edge"/>
              <c:x val="6.3224446786090465E-3"/>
              <c:y val="0.368644067796611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34312"/>
        <c:crosses val="autoZero"/>
        <c:crossBetween val="between"/>
      </c:valAx>
      <c:catAx>
        <c:axId val="240706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704616"/>
        <c:crossesAt val="0"/>
        <c:auto val="0"/>
        <c:lblAlgn val="ctr"/>
        <c:lblOffset val="100"/>
        <c:noMultiLvlLbl val="0"/>
      </c:catAx>
      <c:valAx>
        <c:axId val="2407046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DailyTraffic Volume (vpd)</a:t>
                </a:r>
              </a:p>
            </c:rich>
          </c:tx>
          <c:layout>
            <c:manualLayout>
              <c:xMode val="edge"/>
              <c:yMode val="edge"/>
              <c:x val="0.95047418335089573"/>
              <c:y val="0.379943502824861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706968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45205479452052"/>
          <c:y val="0.12994350282485875"/>
          <c:w val="0.34562697576396489"/>
          <c:h val="9.3220338983051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Edgewood/Valmont Travel Time Survey
(9th to 55th)</a:t>
            </a:r>
          </a:p>
        </c:rich>
      </c:tx>
      <c:layout>
        <c:manualLayout>
          <c:xMode val="edge"/>
          <c:yMode val="edge"/>
          <c:x val="0.33825079030558641"/>
          <c:y val="1.9774011299435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06743940990516E-2"/>
          <c:y val="9.7457627118644072E-2"/>
          <c:w val="0.81559536354056905"/>
          <c:h val="0.8135593220339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Valmont!$B$11</c:f>
              <c:strCache>
                <c:ptCount val="1"/>
                <c:pt idx="0">
                  <c:v>Mean Total Trip Time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Valmont!$A$13:$A$26</c:f>
              <c:numCache>
                <c:formatCode>General</c:formatCode>
                <c:ptCount val="14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  <c:pt idx="12">
                  <c:v>2012</c:v>
                </c:pt>
                <c:pt idx="13">
                  <c:v>2014</c:v>
                </c:pt>
              </c:numCache>
            </c:numRef>
          </c:cat>
          <c:val>
            <c:numRef>
              <c:f>Valmont!$B$13:$B$26</c:f>
              <c:numCache>
                <c:formatCode>#,##0.00_);\(#,##0.00\)</c:formatCode>
                <c:ptCount val="14"/>
                <c:pt idx="0">
                  <c:v>10.383333333333333</c:v>
                </c:pt>
                <c:pt idx="1">
                  <c:v>9.8666666666666671</c:v>
                </c:pt>
                <c:pt idx="2">
                  <c:v>9.6</c:v>
                </c:pt>
                <c:pt idx="3">
                  <c:v>10.233333333333333</c:v>
                </c:pt>
                <c:pt idx="4">
                  <c:v>10.266666666666667</c:v>
                </c:pt>
                <c:pt idx="5">
                  <c:v>10</c:v>
                </c:pt>
                <c:pt idx="6">
                  <c:v>9.8333333333333339</c:v>
                </c:pt>
                <c:pt idx="7">
                  <c:v>8.9499999999999993</c:v>
                </c:pt>
                <c:pt idx="8">
                  <c:v>8.1999999999999993</c:v>
                </c:pt>
                <c:pt idx="9">
                  <c:v>10.216666666666667</c:v>
                </c:pt>
                <c:pt idx="10">
                  <c:v>10.199999999999999</c:v>
                </c:pt>
                <c:pt idx="11">
                  <c:v>10.066666666666666</c:v>
                </c:pt>
                <c:pt idx="13">
                  <c:v>10.266666666666667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C-4212-8345-3DDBA0F76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07752"/>
        <c:axId val="240705400"/>
      </c:barChart>
      <c:lineChart>
        <c:grouping val="standard"/>
        <c:varyColors val="0"/>
        <c:ser>
          <c:idx val="0"/>
          <c:order val="1"/>
          <c:tx>
            <c:strRef>
              <c:f>Valmont!$O$12</c:f>
              <c:strCache>
                <c:ptCount val="1"/>
                <c:pt idx="0">
                  <c:v>Composite Corridor Traffic Volume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Valmont!$A$13:$A$26</c:f>
              <c:numCache>
                <c:formatCode>General</c:formatCode>
                <c:ptCount val="14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  <c:pt idx="12">
                  <c:v>2012</c:v>
                </c:pt>
                <c:pt idx="13">
                  <c:v>2014</c:v>
                </c:pt>
              </c:numCache>
            </c:numRef>
          </c:cat>
          <c:val>
            <c:numRef>
              <c:f>Valmont!$O$13:$O$26</c:f>
              <c:numCache>
                <c:formatCode>#,##0_);\(#,##0\)</c:formatCode>
                <c:ptCount val="14"/>
                <c:pt idx="0">
                  <c:v>16623</c:v>
                </c:pt>
                <c:pt idx="1">
                  <c:v>18860</c:v>
                </c:pt>
                <c:pt idx="2">
                  <c:v>20507</c:v>
                </c:pt>
                <c:pt idx="3">
                  <c:v>24128</c:v>
                </c:pt>
                <c:pt idx="4">
                  <c:v>27256</c:v>
                </c:pt>
                <c:pt idx="5">
                  <c:v>24274</c:v>
                </c:pt>
                <c:pt idx="6">
                  <c:v>23258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C-4212-8345-3DDBA0F76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08144"/>
        <c:axId val="240705008"/>
      </c:lineChart>
      <c:catAx>
        <c:axId val="240707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29083245521603"/>
              <c:y val="0.953389830508480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705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0705400"/>
        <c:scaling>
          <c:orientation val="minMax"/>
          <c:max val="1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Mean Travel Time (minutes)</a:t>
                </a:r>
              </a:p>
            </c:rich>
          </c:tx>
          <c:layout>
            <c:manualLayout>
              <c:xMode val="edge"/>
              <c:yMode val="edge"/>
              <c:x val="1.0537407797681773E-2"/>
              <c:y val="0.375706214689267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707752"/>
        <c:crosses val="autoZero"/>
        <c:crossBetween val="between"/>
      </c:valAx>
      <c:catAx>
        <c:axId val="24070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705008"/>
        <c:crossesAt val="0"/>
        <c:auto val="0"/>
        <c:lblAlgn val="ctr"/>
        <c:lblOffset val="100"/>
        <c:noMultiLvlLbl val="0"/>
      </c:catAx>
      <c:valAx>
        <c:axId val="240705008"/>
        <c:scaling>
          <c:orientation val="minMax"/>
          <c:max val="30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Traffic Volume (vpd)</a:t>
                </a:r>
              </a:p>
            </c:rich>
          </c:tx>
          <c:layout>
            <c:manualLayout>
              <c:xMode val="edge"/>
              <c:yMode val="edge"/>
              <c:x val="0.95890410958904104"/>
              <c:y val="0.34463276836158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708144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15911485774459"/>
          <c:y val="0.11299435028248619"/>
          <c:w val="0.35405690200210782"/>
          <c:h val="0.120056497175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Broadway Travel Time Survey
(Violet to Greenbriar)</a:t>
            </a:r>
          </a:p>
        </c:rich>
      </c:tx>
      <c:layout>
        <c:manualLayout>
          <c:xMode val="edge"/>
          <c:yMode val="edge"/>
          <c:x val="0.37618545837723932"/>
          <c:y val="1.9774011299435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06743940990516E-2"/>
          <c:y val="9.7457627118644072E-2"/>
          <c:w val="0.81559536354056905"/>
          <c:h val="0.8135593220339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Broadway!$B$11</c:f>
              <c:strCache>
                <c:ptCount val="1"/>
                <c:pt idx="0">
                  <c:v>Mean Total Trip Time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Broadway!$A$13:$A$28</c:f>
              <c:numCache>
                <c:formatCode>General</c:formatCode>
                <c:ptCount val="16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2010</c:v>
                </c:pt>
                <c:pt idx="13">
                  <c:v>2012</c:v>
                </c:pt>
                <c:pt idx="14">
                  <c:v>2014</c:v>
                </c:pt>
                <c:pt idx="15">
                  <c:v>2016</c:v>
                </c:pt>
              </c:numCache>
            </c:numRef>
          </c:cat>
          <c:val>
            <c:numRef>
              <c:f>Broadway!$B$13:$B$28</c:f>
              <c:numCache>
                <c:formatCode>#,##0.00_);\(#,##0.00\)</c:formatCode>
                <c:ptCount val="16"/>
                <c:pt idx="0">
                  <c:v>13.933333333333334</c:v>
                </c:pt>
                <c:pt idx="1">
                  <c:v>14.55</c:v>
                </c:pt>
                <c:pt idx="2">
                  <c:v>14.5</c:v>
                </c:pt>
                <c:pt idx="3">
                  <c:v>14.783333333333333</c:v>
                </c:pt>
                <c:pt idx="4">
                  <c:v>15.366666666666667</c:v>
                </c:pt>
                <c:pt idx="5">
                  <c:v>15.1</c:v>
                </c:pt>
                <c:pt idx="6">
                  <c:v>15.15</c:v>
                </c:pt>
                <c:pt idx="7">
                  <c:v>18.333333333333332</c:v>
                </c:pt>
                <c:pt idx="8">
                  <c:v>17.816666666666666</c:v>
                </c:pt>
                <c:pt idx="9">
                  <c:v>15.016666666666667</c:v>
                </c:pt>
                <c:pt idx="10">
                  <c:v>15.316666666666666</c:v>
                </c:pt>
                <c:pt idx="11">
                  <c:v>16.233333333333334</c:v>
                </c:pt>
                <c:pt idx="13">
                  <c:v>15.6</c:v>
                </c:pt>
                <c:pt idx="14">
                  <c:v>15.633333333333333</c:v>
                </c:pt>
                <c:pt idx="15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6-4837-ADC2-25BD7DB87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69480"/>
        <c:axId val="198170264"/>
      </c:barChart>
      <c:lineChart>
        <c:grouping val="standard"/>
        <c:varyColors val="0"/>
        <c:ser>
          <c:idx val="0"/>
          <c:order val="1"/>
          <c:tx>
            <c:strRef>
              <c:f>Broadway!$O$12</c:f>
              <c:strCache>
                <c:ptCount val="1"/>
                <c:pt idx="0">
                  <c:v>Composite Corridor Traffic Volume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Broadway!$A$13:$A$28</c:f>
              <c:numCache>
                <c:formatCode>General</c:formatCode>
                <c:ptCount val="16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2010</c:v>
                </c:pt>
                <c:pt idx="13">
                  <c:v>2012</c:v>
                </c:pt>
                <c:pt idx="14">
                  <c:v>2014</c:v>
                </c:pt>
                <c:pt idx="15">
                  <c:v>2016</c:v>
                </c:pt>
              </c:numCache>
            </c:numRef>
          </c:cat>
          <c:val>
            <c:numRef>
              <c:f>Broadway!$O$13:$O$28</c:f>
              <c:numCache>
                <c:formatCode>#,##0_);\(#,##0\)</c:formatCode>
                <c:ptCount val="16"/>
                <c:pt idx="0">
                  <c:v>26189.698245614214</c:v>
                </c:pt>
                <c:pt idx="1">
                  <c:v>25885.666666666668</c:v>
                </c:pt>
                <c:pt idx="2">
                  <c:v>25876.666666666668</c:v>
                </c:pt>
                <c:pt idx="3">
                  <c:v>27537.333333333332</c:v>
                </c:pt>
                <c:pt idx="4">
                  <c:v>27492.666666666668</c:v>
                </c:pt>
                <c:pt idx="5">
                  <c:v>29120</c:v>
                </c:pt>
                <c:pt idx="6">
                  <c:v>30188.083333333332</c:v>
                </c:pt>
                <c:pt idx="7">
                  <c:v>30329.972222222219</c:v>
                </c:pt>
                <c:pt idx="8">
                  <c:v>34026.25</c:v>
                </c:pt>
                <c:pt idx="9">
                  <c:v>29908</c:v>
                </c:pt>
                <c:pt idx="10">
                  <c:v>31311.666666666668</c:v>
                </c:pt>
                <c:pt idx="11">
                  <c:v>27131.148148148146</c:v>
                </c:pt>
                <c:pt idx="12">
                  <c:v>27104.916666666668</c:v>
                </c:pt>
                <c:pt idx="13">
                  <c:v>25198.16715450729</c:v>
                </c:pt>
                <c:pt idx="14">
                  <c:v>26048.822515199528</c:v>
                </c:pt>
                <c:pt idx="15">
                  <c:v>27726.087548328942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6-4837-ADC2-25BD7DB87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9800"/>
        <c:axId val="243605288"/>
      </c:lineChart>
      <c:catAx>
        <c:axId val="198169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29083245521603"/>
              <c:y val="0.953389830508480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170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170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Mean Travel Time (minutes)</a:t>
                </a:r>
              </a:p>
            </c:rich>
          </c:tx>
          <c:layout>
            <c:manualLayout>
              <c:xMode val="edge"/>
              <c:yMode val="edge"/>
              <c:x val="1.0537407797681773E-2"/>
              <c:y val="0.375706214689267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169480"/>
        <c:crosses val="autoZero"/>
        <c:crossBetween val="between"/>
      </c:valAx>
      <c:catAx>
        <c:axId val="24413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3605288"/>
        <c:crossesAt val="0"/>
        <c:auto val="0"/>
        <c:lblAlgn val="ctr"/>
        <c:lblOffset val="100"/>
        <c:noMultiLvlLbl val="0"/>
      </c:catAx>
      <c:valAx>
        <c:axId val="243605288"/>
        <c:scaling>
          <c:orientation val="minMax"/>
          <c:max val="40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Traffic Volume (vpd)</a:t>
                </a:r>
              </a:p>
            </c:rich>
          </c:tx>
          <c:layout>
            <c:manualLayout>
              <c:xMode val="edge"/>
              <c:yMode val="edge"/>
              <c:x val="0.95890410958904104"/>
              <c:y val="0.34463276836158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39800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37242664609333"/>
          <c:y val="0.70672322892895578"/>
          <c:w val="0.35405690200210782"/>
          <c:h val="0.120056497175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28th Street Travel Time Survey
(Table Mesa Drive to Kalmia Avenue)</a:t>
            </a:r>
          </a:p>
        </c:rich>
      </c:tx>
      <c:layout>
        <c:manualLayout>
          <c:xMode val="edge"/>
          <c:yMode val="edge"/>
          <c:x val="0.35089567966280516"/>
          <c:y val="1.9774011299435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06743940990516E-2"/>
          <c:y val="0.1031073446327679"/>
          <c:w val="0.81243414120126001"/>
          <c:h val="0.807909604519779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'28th'!$B$11</c:f>
              <c:strCache>
                <c:ptCount val="1"/>
                <c:pt idx="0">
                  <c:v>Mean Total Trip Time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'28th'!$A$13:$A$28</c:f>
              <c:numCache>
                <c:formatCode>General</c:formatCode>
                <c:ptCount val="16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2010</c:v>
                </c:pt>
                <c:pt idx="13">
                  <c:v>2012</c:v>
                </c:pt>
                <c:pt idx="14">
                  <c:v>2014</c:v>
                </c:pt>
                <c:pt idx="15">
                  <c:v>2016</c:v>
                </c:pt>
              </c:numCache>
            </c:numRef>
          </c:cat>
          <c:val>
            <c:numRef>
              <c:f>'28th'!$B$13:$B$28</c:f>
              <c:numCache>
                <c:formatCode>#,##0.00_);\(#,##0.00\)</c:formatCode>
                <c:ptCount val="16"/>
                <c:pt idx="0">
                  <c:v>9.1166666666666671</c:v>
                </c:pt>
                <c:pt idx="1">
                  <c:v>8.8166666666666664</c:v>
                </c:pt>
                <c:pt idx="2">
                  <c:v>9.4</c:v>
                </c:pt>
                <c:pt idx="3">
                  <c:v>9.9166666666666661</c:v>
                </c:pt>
                <c:pt idx="4">
                  <c:v>9.9499999999999993</c:v>
                </c:pt>
                <c:pt idx="5">
                  <c:v>10.316666666666666</c:v>
                </c:pt>
                <c:pt idx="6">
                  <c:v>10.45</c:v>
                </c:pt>
                <c:pt idx="7">
                  <c:v>14.933333333333334</c:v>
                </c:pt>
                <c:pt idx="8">
                  <c:v>14.083333333333334</c:v>
                </c:pt>
                <c:pt idx="9">
                  <c:v>8.6999999999999993</c:v>
                </c:pt>
                <c:pt idx="10">
                  <c:v>10.416666666666666</c:v>
                </c:pt>
                <c:pt idx="11">
                  <c:v>9</c:v>
                </c:pt>
                <c:pt idx="13">
                  <c:v>9.5666666666666664</c:v>
                </c:pt>
                <c:pt idx="15">
                  <c:v>11.966666666666667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C-4246-AE18-AFD204419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02152"/>
        <c:axId val="243600976"/>
      </c:barChart>
      <c:lineChart>
        <c:grouping val="standard"/>
        <c:varyColors val="0"/>
        <c:ser>
          <c:idx val="0"/>
          <c:order val="1"/>
          <c:tx>
            <c:strRef>
              <c:f>'28th'!$O$12</c:f>
              <c:strCache>
                <c:ptCount val="1"/>
                <c:pt idx="0">
                  <c:v>Composite Corridor Traffic Volume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'28th'!$A$13:$A$28</c:f>
              <c:numCache>
                <c:formatCode>General</c:formatCode>
                <c:ptCount val="16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2010</c:v>
                </c:pt>
                <c:pt idx="13">
                  <c:v>2012</c:v>
                </c:pt>
                <c:pt idx="14">
                  <c:v>2014</c:v>
                </c:pt>
                <c:pt idx="15">
                  <c:v>2016</c:v>
                </c:pt>
              </c:numCache>
            </c:numRef>
          </c:cat>
          <c:val>
            <c:numRef>
              <c:f>'28th'!$O$13:$O$28</c:f>
              <c:numCache>
                <c:formatCode>#,##0_);\(#,##0\)</c:formatCode>
                <c:ptCount val="16"/>
                <c:pt idx="0">
                  <c:v>34791.964383667218</c:v>
                </c:pt>
                <c:pt idx="1">
                  <c:v>32358.5</c:v>
                </c:pt>
                <c:pt idx="2">
                  <c:v>32487.5</c:v>
                </c:pt>
                <c:pt idx="3">
                  <c:v>36020.5</c:v>
                </c:pt>
                <c:pt idx="4">
                  <c:v>36166</c:v>
                </c:pt>
                <c:pt idx="5">
                  <c:v>36629.5</c:v>
                </c:pt>
                <c:pt idx="6">
                  <c:v>33029.25</c:v>
                </c:pt>
                <c:pt idx="7">
                  <c:v>38017.125</c:v>
                </c:pt>
                <c:pt idx="8">
                  <c:v>39143.875</c:v>
                </c:pt>
                <c:pt idx="9">
                  <c:v>39327.5</c:v>
                </c:pt>
                <c:pt idx="10">
                  <c:v>38567.5</c:v>
                </c:pt>
                <c:pt idx="11">
                  <c:v>37721.125</c:v>
                </c:pt>
                <c:pt idx="12">
                  <c:v>38490.625</c:v>
                </c:pt>
                <c:pt idx="13">
                  <c:v>34118.198523046296</c:v>
                </c:pt>
                <c:pt idx="14">
                  <c:v>36726.135732113413</c:v>
                </c:pt>
                <c:pt idx="15">
                  <c:v>38240.958078644806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C-4246-AE18-AFD204419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01368"/>
        <c:axId val="243599408"/>
      </c:lineChart>
      <c:catAx>
        <c:axId val="24360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418335089567981"/>
              <c:y val="0.953389830508480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60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3600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Mean Travel Time (minutes)</a:t>
                </a:r>
              </a:p>
            </c:rich>
          </c:tx>
          <c:layout>
            <c:manualLayout>
              <c:xMode val="edge"/>
              <c:yMode val="edge"/>
              <c:x val="1.0537407797681773E-2"/>
              <c:y val="0.378531073446327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602152"/>
        <c:crosses val="autoZero"/>
        <c:crossBetween val="between"/>
      </c:valAx>
      <c:catAx>
        <c:axId val="24360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3599408"/>
        <c:crossesAt val="0"/>
        <c:auto val="0"/>
        <c:lblAlgn val="ctr"/>
        <c:lblOffset val="100"/>
        <c:noMultiLvlLbl val="0"/>
      </c:catAx>
      <c:valAx>
        <c:axId val="243599408"/>
        <c:scaling>
          <c:orientation val="minMax"/>
          <c:max val="60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DailyTraffic Volume (vpd)</a:t>
                </a:r>
              </a:p>
            </c:rich>
          </c:tx>
          <c:layout>
            <c:manualLayout>
              <c:xMode val="edge"/>
              <c:yMode val="edge"/>
              <c:x val="0.95574288724973899"/>
              <c:y val="0.389830508474577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601368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4537818213285"/>
          <c:y val="0.15486451100525592"/>
          <c:w val="0.34562697576396473"/>
          <c:h val="9.32203389830516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Foothills Parkway Travel Time Survey
(S. Boulder Road to Diagonal Highway)</a:t>
            </a:r>
          </a:p>
        </c:rich>
      </c:tx>
      <c:layout>
        <c:manualLayout>
          <c:xMode val="edge"/>
          <c:yMode val="edge"/>
          <c:x val="0.34035827186512274"/>
          <c:y val="1.9774011299435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15595363540599E-2"/>
          <c:y val="9.4632768361582714E-2"/>
          <c:w val="0.81875658587987354"/>
          <c:h val="0.80649717514124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Foothills!$B$11</c:f>
              <c:strCache>
                <c:ptCount val="1"/>
                <c:pt idx="0">
                  <c:v>Mean Total Trip Time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Foothills!$A$13:$A$23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  <c:pt idx="9">
                  <c:v>2024</c:v>
                </c:pt>
                <c:pt idx="10">
                  <c:v>2026</c:v>
                </c:pt>
              </c:numCache>
            </c:numRef>
          </c:cat>
          <c:val>
            <c:numRef>
              <c:f>Foothills!$B$13:$B$23</c:f>
              <c:numCache>
                <c:formatCode>#,##0.00_);\(#,##0.00\)</c:formatCode>
                <c:ptCount val="11"/>
                <c:pt idx="0">
                  <c:v>7.0666666666666664</c:v>
                </c:pt>
                <c:pt idx="1">
                  <c:v>6.35</c:v>
                </c:pt>
                <c:pt idx="3">
                  <c:v>6.6333333333333329</c:v>
                </c:pt>
                <c:pt idx="5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7-4D0F-9609-2FC124AB3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04112"/>
        <c:axId val="243606072"/>
      </c:barChart>
      <c:lineChart>
        <c:grouping val="standard"/>
        <c:varyColors val="0"/>
        <c:ser>
          <c:idx val="0"/>
          <c:order val="1"/>
          <c:tx>
            <c:strRef>
              <c:f>Foothills!$O$12</c:f>
              <c:strCache>
                <c:ptCount val="1"/>
                <c:pt idx="0">
                  <c:v>Composite Corridor Traffic Volume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Foothills!$A$13:$A$23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  <c:pt idx="9">
                  <c:v>2024</c:v>
                </c:pt>
                <c:pt idx="10">
                  <c:v>2026</c:v>
                </c:pt>
              </c:numCache>
            </c:numRef>
          </c:cat>
          <c:val>
            <c:numRef>
              <c:f>Foothills!$O$13:$O$23</c:f>
              <c:numCache>
                <c:formatCode>#,##0_);\(#,##0\)</c:formatCode>
                <c:ptCount val="11"/>
                <c:pt idx="0">
                  <c:v>51689.333333333336</c:v>
                </c:pt>
                <c:pt idx="1">
                  <c:v>47087.5</c:v>
                </c:pt>
                <c:pt idx="2">
                  <c:v>46446</c:v>
                </c:pt>
                <c:pt idx="3">
                  <c:v>45911.083333333336</c:v>
                </c:pt>
                <c:pt idx="4">
                  <c:v>50098.469754295045</c:v>
                </c:pt>
                <c:pt idx="5">
                  <c:v>52778.644670927584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7-4D0F-9609-2FC124AB3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02544"/>
        <c:axId val="243600192"/>
      </c:lineChart>
      <c:catAx>
        <c:axId val="24360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5753424657533"/>
              <c:y val="0.94350282485875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606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36060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Mean Travel Time (minutes)</a:t>
                </a:r>
              </a:p>
            </c:rich>
          </c:tx>
          <c:layout>
            <c:manualLayout>
              <c:xMode val="edge"/>
              <c:yMode val="edge"/>
              <c:x val="6.3224446786090465E-3"/>
              <c:y val="0.368644067796611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604112"/>
        <c:crosses val="autoZero"/>
        <c:crossBetween val="between"/>
      </c:valAx>
      <c:catAx>
        <c:axId val="24360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3600192"/>
        <c:crossesAt val="0"/>
        <c:auto val="0"/>
        <c:lblAlgn val="ctr"/>
        <c:lblOffset val="100"/>
        <c:noMultiLvlLbl val="0"/>
      </c:catAx>
      <c:valAx>
        <c:axId val="243600192"/>
        <c:scaling>
          <c:orientation val="minMax"/>
          <c:max val="60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DailyTraffic Volume (vpd)</a:t>
                </a:r>
              </a:p>
            </c:rich>
          </c:tx>
          <c:layout>
            <c:manualLayout>
              <c:xMode val="edge"/>
              <c:yMode val="edge"/>
              <c:x val="0.95047418335089573"/>
              <c:y val="0.3799435028248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602544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863900199868497"/>
          <c:y val="0.74481525345157473"/>
          <c:w val="0.34562697576396473"/>
          <c:h val="9.32203389830516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Long is Forever?</a:t>
            </a:r>
          </a:p>
        </c:rich>
      </c:tx>
      <c:layout>
        <c:manualLayout>
          <c:xMode val="edge"/>
          <c:yMode val="edge"/>
          <c:x val="0.38819324717997683"/>
          <c:y val="5.2830532838615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099150887618053E-2"/>
          <c:y val="8.8322954856980926E-2"/>
          <c:w val="0.87569791892663285"/>
          <c:h val="0.83327427044919666"/>
        </c:manualLayout>
      </c:layout>
      <c:scatterChart>
        <c:scatterStyle val="lineMarker"/>
        <c:varyColors val="0"/>
        <c:ser>
          <c:idx val="1"/>
          <c:order val="0"/>
          <c:tx>
            <c:strRef>
              <c:f>'All Corridors'!$D$4</c:f>
              <c:strCache>
                <c:ptCount val="1"/>
                <c:pt idx="0">
                  <c:v>Broadway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Corridors'!$A$40:$A$54</c:f>
              <c:numCache>
                <c:formatCode>General</c:formatCode>
                <c:ptCount val="15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2012</c:v>
                </c:pt>
                <c:pt idx="13">
                  <c:v>2014</c:v>
                </c:pt>
                <c:pt idx="14">
                  <c:v>2016</c:v>
                </c:pt>
              </c:numCache>
            </c:numRef>
          </c:xVal>
          <c:yVal>
            <c:numRef>
              <c:f>'All Corridors'!$D$40:$D$54</c:f>
              <c:numCache>
                <c:formatCode>0%</c:formatCode>
                <c:ptCount val="15"/>
                <c:pt idx="0">
                  <c:v>1.2724936082014675</c:v>
                </c:pt>
                <c:pt idx="1">
                  <c:v>1.3288121052151689</c:v>
                </c:pt>
                <c:pt idx="2">
                  <c:v>1.3242457405924364</c:v>
                </c:pt>
                <c:pt idx="3">
                  <c:v>1.3501218067879208</c:v>
                </c:pt>
                <c:pt idx="4">
                  <c:v>1.4033960607198004</c:v>
                </c:pt>
                <c:pt idx="5">
                  <c:v>1.3790421160652269</c:v>
                </c:pt>
                <c:pt idx="6">
                  <c:v>1.3836084806879594</c:v>
                </c:pt>
                <c:pt idx="7">
                  <c:v>1.674333695001931</c:v>
                </c:pt>
                <c:pt idx="8">
                  <c:v>1.6271479272336948</c:v>
                </c:pt>
                <c:pt idx="9">
                  <c:v>1.3714315083606727</c:v>
                </c:pt>
                <c:pt idx="10">
                  <c:v>1.3988296960970679</c:v>
                </c:pt>
                <c:pt idx="11">
                  <c:v>1.4825463808471644</c:v>
                </c:pt>
                <c:pt idx="12">
                  <c:v>1.4247057622925521</c:v>
                </c:pt>
                <c:pt idx="13">
                  <c:v>1.4277500053743739</c:v>
                </c:pt>
                <c:pt idx="14">
                  <c:v>1.5616967009745286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D6-48A5-8C72-2C592235F0C7}"/>
            </c:ext>
          </c:extLst>
        </c:ser>
        <c:ser>
          <c:idx val="3"/>
          <c:order val="1"/>
          <c:tx>
            <c:strRef>
              <c:f>'All Corridors'!$F$4</c:f>
              <c:strCache>
                <c:ptCount val="1"/>
                <c:pt idx="0">
                  <c:v>28th Street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('All Corridors'!$A$40:$A$52,'All Corridors'!$A$54)</c:f>
              <c:numCache>
                <c:formatCode>General</c:formatCode>
                <c:ptCount val="14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2012</c:v>
                </c:pt>
                <c:pt idx="13">
                  <c:v>2016</c:v>
                </c:pt>
              </c:numCache>
            </c:numRef>
          </c:xVal>
          <c:yVal>
            <c:numRef>
              <c:f>('All Corridors'!$F$40:$F$52,'All Corridors'!$F$54)</c:f>
              <c:numCache>
                <c:formatCode>0%</c:formatCode>
                <c:ptCount val="14"/>
                <c:pt idx="0">
                  <c:v>1.5226010093918139</c:v>
                </c:pt>
                <c:pt idx="1">
                  <c:v>1.4724971370535089</c:v>
                </c:pt>
                <c:pt idx="2">
                  <c:v>1.5699213332668793</c:v>
                </c:pt>
                <c:pt idx="3">
                  <c:v>1.6562113356272927</c:v>
                </c:pt>
                <c:pt idx="4">
                  <c:v>1.661778432553771</c:v>
                </c:pt>
                <c:pt idx="5">
                  <c:v>1.7230164987450323</c:v>
                </c:pt>
                <c:pt idx="6">
                  <c:v>1.7452848864509454</c:v>
                </c:pt>
                <c:pt idx="7">
                  <c:v>2.4940594230622763</c:v>
                </c:pt>
                <c:pt idx="8">
                  <c:v>2.35209845143708</c:v>
                </c:pt>
                <c:pt idx="9">
                  <c:v>1.4530122978108349</c:v>
                </c:pt>
                <c:pt idx="10">
                  <c:v>1.7397177895244671</c:v>
                </c:pt>
                <c:pt idx="11">
                  <c:v>1.5031161701491396</c:v>
                </c:pt>
                <c:pt idx="12">
                  <c:v>1.5977568178992707</c:v>
                </c:pt>
                <c:pt idx="13">
                  <c:v>1.998587796605708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D6-48A5-8C72-2C592235F0C7}"/>
            </c:ext>
          </c:extLst>
        </c:ser>
        <c:ser>
          <c:idx val="5"/>
          <c:order val="2"/>
          <c:tx>
            <c:strRef>
              <c:f>'All Corridors'!$G$4</c:f>
              <c:strCache>
                <c:ptCount val="1"/>
                <c:pt idx="0">
                  <c:v>Foothills Parkway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('All Corridors'!$A$40:$A$52,'All Corridors'!$A$54)</c:f>
              <c:numCache>
                <c:formatCode>General</c:formatCode>
                <c:ptCount val="14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2012</c:v>
                </c:pt>
                <c:pt idx="13">
                  <c:v>2016</c:v>
                </c:pt>
              </c:numCache>
            </c:numRef>
          </c:xVal>
          <c:yVal>
            <c:numRef>
              <c:f>('All Corridors'!$G$40:$G$52,'All Corridors'!$G$54)</c:f>
              <c:numCache>
                <c:formatCode>General</c:formatCode>
                <c:ptCount val="14"/>
                <c:pt idx="10" formatCode="0%">
                  <c:v>1.5051230334812422</c:v>
                </c:pt>
                <c:pt idx="11" formatCode="0%">
                  <c:v>1.352480839048003</c:v>
                </c:pt>
                <c:pt idx="12" formatCode="0%">
                  <c:v>1.4128277531262605</c:v>
                </c:pt>
                <c:pt idx="13" formatCode="0%">
                  <c:v>1.7252117789431221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D6-48A5-8C72-2C592235F0C7}"/>
            </c:ext>
          </c:extLst>
        </c:ser>
        <c:ser>
          <c:idx val="2"/>
          <c:order val="3"/>
          <c:tx>
            <c:strRef>
              <c:f>'All Corridors'!$E$4</c:f>
              <c:strCache>
                <c:ptCount val="1"/>
                <c:pt idx="0">
                  <c:v>Edgewood/Valmont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'All Corridors'!$A$58:$A$70</c:f>
              <c:numCache>
                <c:formatCode>General</c:formatCode>
                <c:ptCount val="13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  <c:pt idx="12">
                  <c:v>2014</c:v>
                </c:pt>
              </c:numCache>
            </c:numRef>
          </c:xVal>
          <c:yVal>
            <c:numRef>
              <c:f>'All Corridors'!$E$58:$E$70</c:f>
              <c:numCache>
                <c:formatCode>0%</c:formatCode>
                <c:ptCount val="13"/>
                <c:pt idx="0">
                  <c:v>1.6629552546271318</c:v>
                </c:pt>
                <c:pt idx="1">
                  <c:v>1.5802078824065202</c:v>
                </c:pt>
                <c:pt idx="2">
                  <c:v>1.5374995612603979</c:v>
                </c:pt>
                <c:pt idx="3">
                  <c:v>1.638931823982438</c:v>
                </c:pt>
                <c:pt idx="4">
                  <c:v>1.6442703641257035</c:v>
                </c:pt>
                <c:pt idx="5">
                  <c:v>1.6015620429795812</c:v>
                </c:pt>
                <c:pt idx="6">
                  <c:v>1.5748693422632549</c:v>
                </c:pt>
                <c:pt idx="7">
                  <c:v>1.4333980284667251</c:v>
                </c:pt>
                <c:pt idx="8">
                  <c:v>1.3132808752432565</c:v>
                </c:pt>
                <c:pt idx="9">
                  <c:v>1.6362625539108056</c:v>
                </c:pt>
                <c:pt idx="10">
                  <c:v>1.6335932838391727</c:v>
                </c:pt>
                <c:pt idx="11">
                  <c:v>1.6122391232661117</c:v>
                </c:pt>
                <c:pt idx="12">
                  <c:v>1.6442703641257035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D6-48A5-8C72-2C592235F0C7}"/>
            </c:ext>
          </c:extLst>
        </c:ser>
        <c:ser>
          <c:idx val="4"/>
          <c:order val="4"/>
          <c:tx>
            <c:strRef>
              <c:f>'All Corridors'!$H$4</c:f>
              <c:strCache>
                <c:ptCount val="1"/>
                <c:pt idx="0">
                  <c:v>Pearl Street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'All Corridors'!$A$58:$A$69</c:f>
              <c:numCache>
                <c:formatCode>General</c:formatCode>
                <c:ptCount val="12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</c:numCache>
            </c:numRef>
          </c:xVal>
          <c:yVal>
            <c:numRef>
              <c:f>'All Corridors'!$H$58:$H$69</c:f>
              <c:numCache>
                <c:formatCode>General</c:formatCode>
                <c:ptCount val="12"/>
                <c:pt idx="10" formatCode="0%">
                  <c:v>1.4211384965024747</c:v>
                </c:pt>
                <c:pt idx="11" formatCode="0%">
                  <c:v>1.4995023182172162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D6-48A5-8C72-2C592235F0C7}"/>
            </c:ext>
          </c:extLst>
        </c:ser>
        <c:ser>
          <c:idx val="0"/>
          <c:order val="5"/>
          <c:tx>
            <c:strRef>
              <c:f>'All Corridors'!$C$4</c:f>
              <c:strCache>
                <c:ptCount val="1"/>
                <c:pt idx="0">
                  <c:v>Arapahoe Avenue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Corridors'!$A$58:$A$70</c:f>
              <c:numCache>
                <c:formatCode>General</c:formatCode>
                <c:ptCount val="13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  <c:pt idx="12">
                  <c:v>2014</c:v>
                </c:pt>
              </c:numCache>
            </c:numRef>
          </c:xVal>
          <c:yVal>
            <c:numRef>
              <c:f>'All Corridors'!$C$58:$C$70</c:f>
              <c:numCache>
                <c:formatCode>0%</c:formatCode>
                <c:ptCount val="13"/>
                <c:pt idx="0">
                  <c:v>1.7552636760769842</c:v>
                </c:pt>
                <c:pt idx="1">
                  <c:v>1.9606327350695381</c:v>
                </c:pt>
                <c:pt idx="2">
                  <c:v>1.9381704942422273</c:v>
                </c:pt>
                <c:pt idx="3">
                  <c:v>2.1274950955009881</c:v>
                </c:pt>
                <c:pt idx="4">
                  <c:v>2.0697350476593321</c:v>
                </c:pt>
                <c:pt idx="5">
                  <c:v>1.8707837717602958</c:v>
                </c:pt>
                <c:pt idx="6">
                  <c:v>1.9991394336306418</c:v>
                </c:pt>
                <c:pt idx="7">
                  <c:v>3.4238872803914848</c:v>
                </c:pt>
                <c:pt idx="8">
                  <c:v>3.3179938593484493</c:v>
                </c:pt>
                <c:pt idx="9">
                  <c:v>1.8451126393862265</c:v>
                </c:pt>
                <c:pt idx="10">
                  <c:v>1.7520547845302255</c:v>
                </c:pt>
                <c:pt idx="11">
                  <c:v>1.8547393140265023</c:v>
                </c:pt>
                <c:pt idx="12">
                  <c:v>1.8162326154653985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D6-48A5-8C72-2C592235F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604504"/>
        <c:axId val="243598624"/>
      </c:scatterChart>
      <c:valAx>
        <c:axId val="243604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552772808586948"/>
              <c:y val="0.9495192307692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598624"/>
        <c:crosses val="autoZero"/>
        <c:crossBetween val="midCat"/>
      </c:valAx>
      <c:valAx>
        <c:axId val="24359862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Optimal Travel Time</a:t>
                </a:r>
              </a:p>
            </c:rich>
          </c:tx>
          <c:layout>
            <c:manualLayout>
              <c:xMode val="edge"/>
              <c:yMode val="edge"/>
              <c:x val="0"/>
              <c:y val="0.343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604504"/>
        <c:crosses val="autoZero"/>
        <c:crossBetween val="midCat"/>
      </c:valAx>
      <c:spPr>
        <a:pattFill prst="pct60">
          <a:fgClr>
            <a:srgbClr val="FFFFCC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Major Arterial Corridor Travel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'All Corridors'!$L$38:$L$39</c:f>
              <c:strCache>
                <c:ptCount val="2"/>
                <c:pt idx="0">
                  <c:v>Broadway</c:v>
                </c:pt>
                <c:pt idx="1">
                  <c:v>Greenbriar to Violet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Corridors'!$A$40:$A$54</c:f>
              <c:numCache>
                <c:formatCode>General</c:formatCode>
                <c:ptCount val="15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2012</c:v>
                </c:pt>
                <c:pt idx="13">
                  <c:v>2014</c:v>
                </c:pt>
                <c:pt idx="14">
                  <c:v>2016</c:v>
                </c:pt>
              </c:numCache>
            </c:numRef>
          </c:xVal>
          <c:yVal>
            <c:numRef>
              <c:f>'All Corridors'!$L$40:$L$54</c:f>
              <c:numCache>
                <c:formatCode>#,##0.00_);[Red]\(#,##0.00\)</c:formatCode>
                <c:ptCount val="15"/>
                <c:pt idx="0">
                  <c:v>13.933333333333334</c:v>
                </c:pt>
                <c:pt idx="1">
                  <c:v>14.55</c:v>
                </c:pt>
                <c:pt idx="2">
                  <c:v>14.5</c:v>
                </c:pt>
                <c:pt idx="3">
                  <c:v>14.783333333333333</c:v>
                </c:pt>
                <c:pt idx="4">
                  <c:v>15.366666666666667</c:v>
                </c:pt>
                <c:pt idx="5">
                  <c:v>15.1</c:v>
                </c:pt>
                <c:pt idx="6">
                  <c:v>15.15</c:v>
                </c:pt>
                <c:pt idx="7">
                  <c:v>18.333333333333332</c:v>
                </c:pt>
                <c:pt idx="8">
                  <c:v>17.816666666666666</c:v>
                </c:pt>
                <c:pt idx="9">
                  <c:v>15.016666666666667</c:v>
                </c:pt>
                <c:pt idx="10">
                  <c:v>15.316666666666666</c:v>
                </c:pt>
                <c:pt idx="11">
                  <c:v>16.233333333333334</c:v>
                </c:pt>
                <c:pt idx="12">
                  <c:v>15.6</c:v>
                </c:pt>
                <c:pt idx="13">
                  <c:v>15.633333333333333</c:v>
                </c:pt>
                <c:pt idx="14">
                  <c:v>17.100000000000001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05-4619-9493-DED464DA43DE}"/>
            </c:ext>
          </c:extLst>
        </c:ser>
        <c:ser>
          <c:idx val="1"/>
          <c:order val="1"/>
          <c:tx>
            <c:strRef>
              <c:f>'All Corridors'!$N$38:$N$39</c:f>
              <c:strCache>
                <c:ptCount val="2"/>
                <c:pt idx="0">
                  <c:v>28th Street</c:v>
                </c:pt>
                <c:pt idx="1">
                  <c:v>Table Mesa to Kalmia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('All Corridors'!$A$40:$A$52,'All Corridors'!$A$54)</c:f>
              <c:numCache>
                <c:formatCode>General</c:formatCode>
                <c:ptCount val="14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2012</c:v>
                </c:pt>
                <c:pt idx="13">
                  <c:v>2016</c:v>
                </c:pt>
              </c:numCache>
            </c:numRef>
          </c:xVal>
          <c:yVal>
            <c:numRef>
              <c:f>('All Corridors'!$N$40:$N$52,'All Corridors'!$N$54)</c:f>
              <c:numCache>
                <c:formatCode>#,##0.00_);[Red]\(#,##0.00\)</c:formatCode>
                <c:ptCount val="14"/>
                <c:pt idx="0">
                  <c:v>9.1166666666666671</c:v>
                </c:pt>
                <c:pt idx="1">
                  <c:v>8.8166666666666664</c:v>
                </c:pt>
                <c:pt idx="2">
                  <c:v>9.4</c:v>
                </c:pt>
                <c:pt idx="3">
                  <c:v>9.9166666666666661</c:v>
                </c:pt>
                <c:pt idx="4">
                  <c:v>9.9499999999999993</c:v>
                </c:pt>
                <c:pt idx="5">
                  <c:v>10.316666666666666</c:v>
                </c:pt>
                <c:pt idx="6">
                  <c:v>10.45</c:v>
                </c:pt>
                <c:pt idx="7">
                  <c:v>14.933333333333334</c:v>
                </c:pt>
                <c:pt idx="8">
                  <c:v>14.083333333333334</c:v>
                </c:pt>
                <c:pt idx="9">
                  <c:v>8.6999999999999993</c:v>
                </c:pt>
                <c:pt idx="10">
                  <c:v>10.416666666666666</c:v>
                </c:pt>
                <c:pt idx="11">
                  <c:v>9</c:v>
                </c:pt>
                <c:pt idx="12">
                  <c:v>9.5666666666666664</c:v>
                </c:pt>
                <c:pt idx="13">
                  <c:v>11.966666666666667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05-4619-9493-DED464DA43DE}"/>
            </c:ext>
          </c:extLst>
        </c:ser>
        <c:ser>
          <c:idx val="2"/>
          <c:order val="2"/>
          <c:tx>
            <c:strRef>
              <c:f>'All Corridors'!$O$38:$O$39</c:f>
              <c:strCache>
                <c:ptCount val="2"/>
                <c:pt idx="0">
                  <c:v>Foothills Parkway</c:v>
                </c:pt>
                <c:pt idx="1">
                  <c:v>South Boulder Road to Diagonal Highway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('All Corridors'!$A$40:$A$52,'All Corridors'!$A$54)</c:f>
              <c:numCache>
                <c:formatCode>General</c:formatCode>
                <c:ptCount val="14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  <c:pt idx="10">
                  <c:v>2006</c:v>
                </c:pt>
                <c:pt idx="11">
                  <c:v>2008</c:v>
                </c:pt>
                <c:pt idx="12">
                  <c:v>2012</c:v>
                </c:pt>
                <c:pt idx="13">
                  <c:v>2016</c:v>
                </c:pt>
              </c:numCache>
            </c:numRef>
          </c:xVal>
          <c:yVal>
            <c:numRef>
              <c:f>('All Corridors'!$O$40:$O$52,'All Corridors'!$O$54)</c:f>
              <c:numCache>
                <c:formatCode>#,##0.00_);[Red]\(#,##0.00\)</c:formatCode>
                <c:ptCount val="14"/>
                <c:pt idx="10">
                  <c:v>7.0666666666666664</c:v>
                </c:pt>
                <c:pt idx="11">
                  <c:v>6.35</c:v>
                </c:pt>
                <c:pt idx="12">
                  <c:v>6.6333333333333329</c:v>
                </c:pt>
                <c:pt idx="13">
                  <c:v>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05-4619-9493-DED464DA43DE}"/>
            </c:ext>
          </c:extLst>
        </c:ser>
        <c:ser>
          <c:idx val="3"/>
          <c:order val="3"/>
          <c:tx>
            <c:strRef>
              <c:f>'All Corridors'!$L$56:$L$57</c:f>
              <c:strCache>
                <c:ptCount val="2"/>
                <c:pt idx="0">
                  <c:v>Arapahoe Avenue</c:v>
                </c:pt>
                <c:pt idx="1">
                  <c:v>9th Street to 55th Street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Corridors'!$A$58:$A$70</c:f>
              <c:numCache>
                <c:formatCode>General</c:formatCode>
                <c:ptCount val="13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  <c:pt idx="12">
                  <c:v>2014</c:v>
                </c:pt>
              </c:numCache>
            </c:numRef>
          </c:xVal>
          <c:yVal>
            <c:numRef>
              <c:f>'All Corridors'!$L$58:$L$70</c:f>
              <c:numCache>
                <c:formatCode>#,##0.00_);[Red]\(#,##0.00\)</c:formatCode>
                <c:ptCount val="13"/>
                <c:pt idx="0">
                  <c:v>9.1166666666666671</c:v>
                </c:pt>
                <c:pt idx="1">
                  <c:v>10.183333333333334</c:v>
                </c:pt>
                <c:pt idx="2">
                  <c:v>10.066666666666666</c:v>
                </c:pt>
                <c:pt idx="3">
                  <c:v>11.05</c:v>
                </c:pt>
                <c:pt idx="4">
                  <c:v>10.75</c:v>
                </c:pt>
                <c:pt idx="5">
                  <c:v>9.7166666666666668</c:v>
                </c:pt>
                <c:pt idx="6">
                  <c:v>10.383333333333333</c:v>
                </c:pt>
                <c:pt idx="7">
                  <c:v>17.783333333333335</c:v>
                </c:pt>
                <c:pt idx="8">
                  <c:v>17.233333333333334</c:v>
                </c:pt>
                <c:pt idx="9">
                  <c:v>9.5833333333333339</c:v>
                </c:pt>
                <c:pt idx="10">
                  <c:v>9.1</c:v>
                </c:pt>
                <c:pt idx="11">
                  <c:v>9.6333333333333329</c:v>
                </c:pt>
                <c:pt idx="12">
                  <c:v>9.4333333333333336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05-4619-9493-DED464DA43DE}"/>
            </c:ext>
          </c:extLst>
        </c:ser>
        <c:ser>
          <c:idx val="4"/>
          <c:order val="4"/>
          <c:tx>
            <c:strRef>
              <c:f>'All Corridors'!$N$56:$N$57</c:f>
              <c:strCache>
                <c:ptCount val="2"/>
                <c:pt idx="0">
                  <c:v>Edgewood/Valmont</c:v>
                </c:pt>
                <c:pt idx="1">
                  <c:v>9th Street to 55th Street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'All Corridors'!$A$58:$A$70</c:f>
              <c:numCache>
                <c:formatCode>General</c:formatCode>
                <c:ptCount val="13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  <c:pt idx="12">
                  <c:v>2014</c:v>
                </c:pt>
              </c:numCache>
            </c:numRef>
          </c:xVal>
          <c:yVal>
            <c:numRef>
              <c:f>'All Corridors'!$N$58:$N$70</c:f>
              <c:numCache>
                <c:formatCode>#,##0.00_);[Red]\(#,##0.00\)</c:formatCode>
                <c:ptCount val="13"/>
                <c:pt idx="0">
                  <c:v>10.383333333333333</c:v>
                </c:pt>
                <c:pt idx="1">
                  <c:v>9.8666666666666671</c:v>
                </c:pt>
                <c:pt idx="2">
                  <c:v>9.6</c:v>
                </c:pt>
                <c:pt idx="3">
                  <c:v>10.233333333333333</c:v>
                </c:pt>
                <c:pt idx="4">
                  <c:v>10.266666666666667</c:v>
                </c:pt>
                <c:pt idx="5">
                  <c:v>10</c:v>
                </c:pt>
                <c:pt idx="6">
                  <c:v>9.8333333333333339</c:v>
                </c:pt>
                <c:pt idx="7">
                  <c:v>8.9499999999999993</c:v>
                </c:pt>
                <c:pt idx="8">
                  <c:v>8.1999999999999993</c:v>
                </c:pt>
                <c:pt idx="9">
                  <c:v>10.216666666666667</c:v>
                </c:pt>
                <c:pt idx="10">
                  <c:v>10.199999999999999</c:v>
                </c:pt>
                <c:pt idx="11">
                  <c:v>10.066666666666666</c:v>
                </c:pt>
                <c:pt idx="12">
                  <c:v>10.266666666666667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05-4619-9493-DED464DA43DE}"/>
            </c:ext>
          </c:extLst>
        </c:ser>
        <c:ser>
          <c:idx val="5"/>
          <c:order val="5"/>
          <c:tx>
            <c:strRef>
              <c:f>'All Corridors'!$Q$56:$Q$57</c:f>
              <c:strCache>
                <c:ptCount val="2"/>
                <c:pt idx="0">
                  <c:v>Pearl Street</c:v>
                </c:pt>
                <c:pt idx="1">
                  <c:v>11th Street to 61st Street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'All Corridors'!$A$58:$A$70</c:f>
              <c:numCache>
                <c:formatCode>General</c:formatCode>
                <c:ptCount val="13"/>
                <c:pt idx="0">
                  <c:v>1987</c:v>
                </c:pt>
                <c:pt idx="1">
                  <c:v>1989</c:v>
                </c:pt>
                <c:pt idx="2">
                  <c:v>1991</c:v>
                </c:pt>
                <c:pt idx="3">
                  <c:v>1993</c:v>
                </c:pt>
                <c:pt idx="4">
                  <c:v>1995</c:v>
                </c:pt>
                <c:pt idx="5">
                  <c:v>1997</c:v>
                </c:pt>
                <c:pt idx="6">
                  <c:v>1999</c:v>
                </c:pt>
                <c:pt idx="7">
                  <c:v>2001</c:v>
                </c:pt>
                <c:pt idx="8">
                  <c:v>2003</c:v>
                </c:pt>
                <c:pt idx="9">
                  <c:v>2005</c:v>
                </c:pt>
                <c:pt idx="10">
                  <c:v>2007</c:v>
                </c:pt>
                <c:pt idx="11">
                  <c:v>2010</c:v>
                </c:pt>
                <c:pt idx="12">
                  <c:v>2014</c:v>
                </c:pt>
              </c:numCache>
            </c:numRef>
          </c:xVal>
          <c:yVal>
            <c:numRef>
              <c:f>'All Corridors'!$Q$58:$Q$70</c:f>
              <c:numCache>
                <c:formatCode>#,##0.00_);[Red]\(#,##0.00\)</c:formatCode>
                <c:ptCount val="13"/>
                <c:pt idx="10">
                  <c:v>11.183333333333334</c:v>
                </c:pt>
                <c:pt idx="11">
                  <c:v>11.8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05-4619-9493-DED464DA4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599800"/>
        <c:axId val="243601760"/>
      </c:scatterChart>
      <c:valAx>
        <c:axId val="243599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601760"/>
        <c:crosses val="autoZero"/>
        <c:crossBetween val="midCat"/>
      </c:valAx>
      <c:valAx>
        <c:axId val="24360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Travel Time (min.)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599800"/>
        <c:crosses val="autoZero"/>
        <c:crossBetween val="midCat"/>
      </c:valAx>
      <c:spPr>
        <a:pattFill prst="pct50">
          <a:fgClr>
            <a:srgbClr val="FFFFCC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 zoomToFit="1"/>
  </sheetViews>
  <pageMargins left="0.5" right="0.5" top="0.5" bottom="0.5" header="0.5" footer="0.25"/>
  <pageSetup orientation="landscape" r:id="rId1"/>
  <headerFooter alignWithMargins="0">
    <oddFooter>&amp;L&amp;D&amp;CDriveTime&amp;RPage &amp;P of 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5" right="0.5" top="0.5" bottom="0.5" header="0.5" footer="0.25"/>
  <pageSetup orientation="landscape" r:id="rId1"/>
  <headerFooter alignWithMargins="0">
    <oddFooter>&amp;L&amp;D&amp;CDriveTime&amp;RPage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5" right="0.5" top="0.5" bottom="0.5" header="0.5" footer="0.25"/>
  <pageSetup orientation="landscape" r:id="rId1"/>
  <headerFooter alignWithMargins="0">
    <oddFooter>&amp;L&amp;D&amp;CDriveTime&amp;RPage &amp;P of 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5" right="0.5" top="0.5" bottom="0.5" header="0.5" footer="0.25"/>
  <pageSetup orientation="landscape" r:id="rId1"/>
  <headerFooter alignWithMargins="0">
    <oddFooter>&amp;L&amp;D&amp;CDriveTime&amp;RPage &amp;P of  &amp;N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5" right="0.5" top="0.5" bottom="0.5" header="0.5" footer="0.25"/>
  <pageSetup orientation="landscape" r:id="rId1"/>
  <headerFooter alignWithMargins="0">
    <oddFooter>&amp;L&amp;D&amp;CDriveTime&amp;RPage &amp;P of &amp;N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5" right="0.5" top="0.5" bottom="0.5" header="0.5" footer="0.25"/>
  <pageSetup orientation="landscape" r:id="rId1"/>
  <headerFooter alignWithMargins="0">
    <oddFooter>&amp;L&amp;D&amp;CDriveTime&amp;RPage &amp;P of &amp;N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5" right="0.5" top="0.5" bottom="0.5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30138" cy="67441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0.08977</cdr:x>
      <cdr:y>0.60924</cdr:y>
    </cdr:from>
    <cdr:to>
      <cdr:x>0.89977</cdr:x>
      <cdr:y>0.61024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11580" y="4107916"/>
          <a:ext cx="7322720" cy="67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0.3925</cdr:x>
      <cdr:y>0.5765</cdr:y>
    </cdr:from>
    <cdr:to>
      <cdr:x>0.5885</cdr:x>
      <cdr:y>0.599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7896" y="3887743"/>
          <a:ext cx="1771688" cy="151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Optimal Travel Time = 5.99 Minutes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2875" cy="67468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0.08025</cdr:x>
      <cdr:y>0.43275</cdr:y>
    </cdr:from>
    <cdr:to>
      <cdr:x>0.895</cdr:x>
      <cdr:y>0.4335</cdr:y>
    </cdr:to>
    <cdr:sp macro="" textlink="">
      <cdr:nvSpPr>
        <cdr:cNvPr id="972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5398" y="2918336"/>
          <a:ext cx="7364708" cy="5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0.38725</cdr:x>
      <cdr:y>0.403</cdr:y>
    </cdr:from>
    <cdr:to>
      <cdr:x>0.59175</cdr:x>
      <cdr:y>0.434</cdr:y>
    </cdr:to>
    <cdr:sp macro="" textlink="">
      <cdr:nvSpPr>
        <cdr:cNvPr id="97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0440" y="2717711"/>
          <a:ext cx="1848521" cy="20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Optimal Travel Time = 4.70 Minutes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2875" cy="67468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0.468</cdr:x>
      <cdr:y>0.86075</cdr:y>
    </cdr:from>
    <cdr:to>
      <cdr:x>0.66825</cdr:x>
      <cdr:y>0.89925</cdr:y>
    </cdr:to>
    <cdr:sp macro="" textlink="">
      <cdr:nvSpPr>
        <cdr:cNvPr id="204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1854" y="3410636"/>
          <a:ext cx="1066226" cy="152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500" b="1" i="0" u="none" strike="noStrike" baseline="0">
              <a:solidFill>
                <a:srgbClr val="800080"/>
              </a:solidFill>
              <a:latin typeface="Arial"/>
              <a:cs typeface="Arial"/>
            </a:rPr>
            <a:t>OPTIMAL TRAVEL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</cdr:x>
      <cdr:y>0.64399</cdr:y>
    </cdr:from>
    <cdr:to>
      <cdr:x>0.92275</cdr:x>
      <cdr:y>0.64399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03055" y="4608802"/>
          <a:ext cx="76179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4925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0.41636</cdr:x>
      <cdr:y>0.61516</cdr:y>
    </cdr:from>
    <cdr:to>
      <cdr:x>0.61561</cdr:x>
      <cdr:y>0.63766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9705" y="4402460"/>
          <a:ext cx="1818351" cy="161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Optimal Travel Time = 6.24  Minutes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032875" cy="67468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0.07747</cdr:x>
      <cdr:y>0.45021</cdr:y>
    </cdr:from>
    <cdr:to>
      <cdr:x>0.89222</cdr:x>
      <cdr:y>0.45096</cdr:y>
    </cdr:to>
    <cdr:sp macro="" textlink="">
      <cdr:nvSpPr>
        <cdr:cNvPr id="972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9755" y="3016798"/>
          <a:ext cx="7358855" cy="50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0.38817</cdr:x>
      <cdr:y>0.41173</cdr:y>
    </cdr:from>
    <cdr:to>
      <cdr:x>0.63182</cdr:x>
      <cdr:y>0.44273</cdr:y>
    </cdr:to>
    <cdr:sp macro="" textlink="">
      <cdr:nvSpPr>
        <cdr:cNvPr id="97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6012" y="2758958"/>
          <a:ext cx="2200633" cy="207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Optimal Travel Time = 7.87 Minutes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2875" cy="67468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0.08525</cdr:x>
      <cdr:y>0.53775</cdr:y>
    </cdr:from>
    <cdr:to>
      <cdr:x>0.92</cdr:x>
      <cdr:y>0.53775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70594" y="3626425"/>
          <a:ext cx="75454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4925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0.43925</cdr:x>
      <cdr:y>0.50775</cdr:y>
    </cdr:from>
    <cdr:to>
      <cdr:x>0.6385</cdr:x>
      <cdr:y>0.53025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0480" y="3424114"/>
          <a:ext cx="1801065" cy="151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Optimal Travel Time = 6.24  Minutes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2875" cy="67468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0.08525</cdr:x>
      <cdr:y>0.45975</cdr:y>
    </cdr:from>
    <cdr:to>
      <cdr:x>0.90075</cdr:x>
      <cdr:y>0.4605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70594" y="3100416"/>
          <a:ext cx="7371488" cy="5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4925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0.431</cdr:x>
      <cdr:y>0.43275</cdr:y>
    </cdr:from>
    <cdr:to>
      <cdr:x>0.6365</cdr:x>
      <cdr:y>0.45675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5906" y="2918336"/>
          <a:ext cx="1857561" cy="161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Optimal Travel Time = 10.95  Minutes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2875" cy="67468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W\ParkCentral\TRAN\COUNT\ART\01\01CNTA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W\ParkCentral\TRAN\COUNT\ART\05\05CNTA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W\ParkCentral\Tran\COUNT\ART\13\13CNTA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W\ParkCentral\Tran\COUNT\ART\16\16CNTA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W\ParkCentral\TRAN\COUNT\ART\02\02CNTA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W\ParkCentral\Tran\COUNT\ART\06\06CNT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CNTART"/>
      <sheetName val="Linear Regression"/>
      <sheetName val="5-Yr Comparison "/>
      <sheetName val="5-Yr Art Chart"/>
      <sheetName val="Five-Year"/>
      <sheetName val="Sorts"/>
    </sheetNames>
    <sheetDataSet>
      <sheetData sheetId="0">
        <row r="5">
          <cell r="E5">
            <v>26763</v>
          </cell>
          <cell r="I5">
            <v>24969</v>
          </cell>
          <cell r="M5">
            <v>24515.666666666664</v>
          </cell>
          <cell r="Q5">
            <v>25156</v>
          </cell>
          <cell r="U5">
            <v>25530</v>
          </cell>
          <cell r="Y5">
            <v>23762</v>
          </cell>
          <cell r="AC5">
            <v>22486</v>
          </cell>
          <cell r="AF5">
            <v>24617.5</v>
          </cell>
        </row>
        <row r="9">
          <cell r="G9">
            <v>29416</v>
          </cell>
          <cell r="K9">
            <v>29125.25</v>
          </cell>
          <cell r="O9">
            <v>28791</v>
          </cell>
          <cell r="S9">
            <v>26702</v>
          </cell>
          <cell r="W9">
            <v>27660</v>
          </cell>
          <cell r="AA9">
            <v>28767</v>
          </cell>
          <cell r="AE9">
            <v>29963</v>
          </cell>
          <cell r="AK9">
            <v>27847.094736842642</v>
          </cell>
        </row>
        <row r="10">
          <cell r="G10">
            <v>27151.666666666664</v>
          </cell>
          <cell r="K10">
            <v>27662</v>
          </cell>
          <cell r="O10">
            <v>25963</v>
          </cell>
          <cell r="S10">
            <v>25040</v>
          </cell>
          <cell r="W10">
            <v>23908</v>
          </cell>
          <cell r="AA10">
            <v>18813</v>
          </cell>
          <cell r="AE10">
            <v>22438</v>
          </cell>
          <cell r="AK10">
            <v>22096</v>
          </cell>
        </row>
        <row r="14">
          <cell r="G14">
            <v>34422.25</v>
          </cell>
          <cell r="K14">
            <v>33777</v>
          </cell>
          <cell r="O14">
            <v>32606</v>
          </cell>
          <cell r="S14">
            <v>30736</v>
          </cell>
          <cell r="W14">
            <v>31044</v>
          </cell>
          <cell r="AA14">
            <v>30050</v>
          </cell>
          <cell r="AE14">
            <v>25256</v>
          </cell>
          <cell r="AK14">
            <v>28626</v>
          </cell>
        </row>
        <row r="24">
          <cell r="I24">
            <v>23258</v>
          </cell>
          <cell r="M24">
            <v>24274</v>
          </cell>
          <cell r="Q24">
            <v>27256</v>
          </cell>
          <cell r="U24">
            <v>24128</v>
          </cell>
          <cell r="Y24">
            <v>20507</v>
          </cell>
          <cell r="AC24">
            <v>18860</v>
          </cell>
          <cell r="AF24">
            <v>16623</v>
          </cell>
        </row>
        <row r="25">
          <cell r="G25">
            <v>49389.75</v>
          </cell>
          <cell r="O25">
            <v>45314</v>
          </cell>
          <cell r="S25">
            <v>44121</v>
          </cell>
          <cell r="W25">
            <v>44249</v>
          </cell>
          <cell r="AA25">
            <v>41358</v>
          </cell>
          <cell r="AE25">
            <v>38127</v>
          </cell>
          <cell r="AK25">
            <v>43392</v>
          </cell>
        </row>
        <row r="26">
          <cell r="G26">
            <v>26644.5</v>
          </cell>
          <cell r="K26">
            <v>29484.75</v>
          </cell>
          <cell r="O26">
            <v>27945</v>
          </cell>
          <cell r="S26">
            <v>28211</v>
          </cell>
          <cell r="W26">
            <v>27792</v>
          </cell>
          <cell r="AA26">
            <v>23617</v>
          </cell>
          <cell r="AE26">
            <v>26590</v>
          </cell>
          <cell r="AK26">
            <v>26191.928767334437</v>
          </cell>
        </row>
        <row r="27">
          <cell r="K27">
            <v>36573.75</v>
          </cell>
        </row>
      </sheetData>
      <sheetData sheetId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CNTART"/>
      <sheetName val="Linear Regression"/>
      <sheetName val="Regression Chart"/>
      <sheetName val="5-Yr Comparison "/>
      <sheetName val="5-Yr Art Chart"/>
      <sheetName val="Five-Year"/>
      <sheetName val="Sorts"/>
    </sheetNames>
    <sheetDataSet>
      <sheetData sheetId="0">
        <row r="5">
          <cell r="E5">
            <v>24132</v>
          </cell>
          <cell r="I5">
            <v>23940.75</v>
          </cell>
        </row>
        <row r="9">
          <cell r="G9">
            <v>26836</v>
          </cell>
        </row>
        <row r="10">
          <cell r="G10">
            <v>28005</v>
          </cell>
        </row>
        <row r="14">
          <cell r="G14">
            <v>34883</v>
          </cell>
        </row>
        <row r="25">
          <cell r="G25">
            <v>50093</v>
          </cell>
        </row>
        <row r="26">
          <cell r="G26">
            <v>28562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CNTART"/>
      <sheetName val="Linear Regression"/>
      <sheetName val="Regression Chart"/>
      <sheetName val="5-Yr Art Chart"/>
      <sheetName val="5-Yr Comparison "/>
      <sheetName val="Five-Year"/>
      <sheetName val="Sheet2"/>
    </sheetNames>
    <sheetDataSet>
      <sheetData sheetId="0">
        <row r="5">
          <cell r="K5">
            <v>24035.25</v>
          </cell>
          <cell r="Q5">
            <v>22630.75</v>
          </cell>
        </row>
        <row r="9">
          <cell r="O9">
            <v>26127.194444444445</v>
          </cell>
        </row>
        <row r="10">
          <cell r="O10">
            <v>25676.25</v>
          </cell>
        </row>
        <row r="14">
          <cell r="O14">
            <v>29590</v>
          </cell>
        </row>
        <row r="18">
          <cell r="G18">
            <v>45911.083333333336</v>
          </cell>
          <cell r="O18">
            <v>47087.5</v>
          </cell>
        </row>
        <row r="20">
          <cell r="K20">
            <v>23935.25</v>
          </cell>
          <cell r="Q20">
            <v>24360.75</v>
          </cell>
        </row>
        <row r="21">
          <cell r="K21">
            <v>13679.75</v>
          </cell>
          <cell r="Q21">
            <v>16235.5</v>
          </cell>
        </row>
        <row r="25">
          <cell r="O25">
            <v>47438.75</v>
          </cell>
        </row>
        <row r="26">
          <cell r="O26">
            <v>28003.5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AWDT Factors"/>
      <sheetName val="16 AAWDT CNTART"/>
      <sheetName val="16 CNTART Input"/>
      <sheetName val="Linear Regression"/>
      <sheetName val="Regression Chart"/>
      <sheetName val="5-Yr Art Chart"/>
      <sheetName val="5-Yr Comparison "/>
      <sheetName val="Five-Year"/>
      <sheetName val="Sheet2"/>
    </sheetNames>
    <sheetDataSet>
      <sheetData sheetId="0"/>
      <sheetData sheetId="1"/>
      <sheetData sheetId="2">
        <row r="5">
          <cell r="I5">
            <v>22162.304558252406</v>
          </cell>
          <cell r="M5">
            <v>20520.694528789485</v>
          </cell>
        </row>
        <row r="9">
          <cell r="E9">
            <v>25301.880778363124</v>
          </cell>
          <cell r="I9">
            <v>23917.55308634376</v>
          </cell>
          <cell r="M9">
            <v>24320.898492284949</v>
          </cell>
          <cell r="Q9">
            <v>27892.75</v>
          </cell>
        </row>
        <row r="10">
          <cell r="E10">
            <v>25222.769812306684</v>
          </cell>
          <cell r="I10">
            <v>23242.114979328515</v>
          </cell>
          <cell r="M10">
            <v>24363.365975014054</v>
          </cell>
          <cell r="Q10">
            <v>23022.5</v>
          </cell>
        </row>
        <row r="14">
          <cell r="E14">
            <v>32653.612054317022</v>
          </cell>
          <cell r="I14">
            <v>30986.799479926314</v>
          </cell>
          <cell r="M14">
            <v>26910.236996222866</v>
          </cell>
          <cell r="Q14">
            <v>30399.5</v>
          </cell>
        </row>
        <row r="18">
          <cell r="E18">
            <v>52778.644670927584</v>
          </cell>
          <cell r="I18">
            <v>50098.469754295045</v>
          </cell>
          <cell r="Q18">
            <v>46446</v>
          </cell>
        </row>
        <row r="20">
          <cell r="E20">
            <v>20861.029910656885</v>
          </cell>
          <cell r="K20">
            <v>17026.189580581013</v>
          </cell>
        </row>
        <row r="21">
          <cell r="E21">
            <v>13301.352813812753</v>
          </cell>
          <cell r="K21">
            <v>12799.728608977108</v>
          </cell>
        </row>
        <row r="25">
          <cell r="E25">
            <v>46491.653316876407</v>
          </cell>
          <cell r="I25">
            <v>43692.269440644697</v>
          </cell>
          <cell r="M25">
            <v>41299.602517958941</v>
          </cell>
          <cell r="Q25">
            <v>48663.25</v>
          </cell>
        </row>
        <row r="26">
          <cell r="E26">
            <v>29990.262840413208</v>
          </cell>
          <cell r="I26">
            <v>29760.002023582121</v>
          </cell>
          <cell r="M26">
            <v>26936.794528133651</v>
          </cell>
          <cell r="Q26">
            <v>28318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CNTART"/>
      <sheetName val="Linear Regression"/>
      <sheetName val="5-Yr Comparison "/>
      <sheetName val="5-Yr Art Chart"/>
      <sheetName val="Five-Year"/>
      <sheetName val="Sorts"/>
    </sheetNames>
    <sheetDataSet>
      <sheetData sheetId="0">
        <row r="9">
          <cell r="E9">
            <v>37750.75</v>
          </cell>
        </row>
        <row r="10">
          <cell r="E10">
            <v>28465.25</v>
          </cell>
        </row>
        <row r="14">
          <cell r="E14">
            <v>35862.75</v>
          </cell>
        </row>
        <row r="25">
          <cell r="E25">
            <v>49742</v>
          </cell>
        </row>
        <row r="26">
          <cell r="E26">
            <v>28545.75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CNTART"/>
      <sheetName val="Linear Regression"/>
      <sheetName val="Regression Chart"/>
      <sheetName val="5-Yr Comparison "/>
      <sheetName val="5-Yr Art Chart"/>
      <sheetName val="Five-Year"/>
      <sheetName val="Sorts"/>
    </sheetNames>
    <sheetDataSet>
      <sheetData sheetId="0">
        <row r="9">
          <cell r="G9">
            <v>28761</v>
          </cell>
        </row>
        <row r="10">
          <cell r="G10">
            <v>30190</v>
          </cell>
        </row>
        <row r="14">
          <cell r="G14">
            <v>34984</v>
          </cell>
        </row>
        <row r="18">
          <cell r="E18">
            <v>51689.333333333336</v>
          </cell>
        </row>
        <row r="25">
          <cell r="G25">
            <v>48098</v>
          </cell>
        </row>
        <row r="26">
          <cell r="G26">
            <v>29037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O25" sqref="O25"/>
    </sheetView>
  </sheetViews>
  <sheetFormatPr defaultRowHeight="13.2" x14ac:dyDescent="0.25"/>
  <cols>
    <col min="15" max="15" width="9.6640625" customWidth="1"/>
  </cols>
  <sheetData>
    <row r="1" spans="1:15" x14ac:dyDescent="0.25">
      <c r="A1" t="s">
        <v>12</v>
      </c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18</v>
      </c>
      <c r="E4" t="s">
        <v>19</v>
      </c>
    </row>
    <row r="5" spans="1:15" x14ac:dyDescent="0.25">
      <c r="A5" t="s">
        <v>23</v>
      </c>
      <c r="E5" s="36">
        <f>Distances!D28</f>
        <v>16480</v>
      </c>
      <c r="F5" t="s">
        <v>25</v>
      </c>
      <c r="H5" s="22">
        <f>E5/5280</f>
        <v>3.1212121212121211</v>
      </c>
    </row>
    <row r="6" spans="1:15" x14ac:dyDescent="0.25">
      <c r="A6" t="s">
        <v>45</v>
      </c>
      <c r="B6" s="36"/>
      <c r="E6" s="36">
        <f>COUNT(Distances!D5:D27)+1</f>
        <v>17</v>
      </c>
    </row>
    <row r="7" spans="1:15" x14ac:dyDescent="0.25">
      <c r="A7" t="s">
        <v>46</v>
      </c>
      <c r="B7" s="36"/>
      <c r="E7" s="41">
        <f>Distances!D30</f>
        <v>5.4466019417475726</v>
      </c>
    </row>
    <row r="8" spans="1:15" x14ac:dyDescent="0.25">
      <c r="A8" t="s">
        <v>124</v>
      </c>
      <c r="B8" s="36"/>
      <c r="E8" s="36">
        <f>'Arapahoe SL'!I28</f>
        <v>36.011420736732326</v>
      </c>
    </row>
    <row r="9" spans="1:15" x14ac:dyDescent="0.25">
      <c r="A9" t="s">
        <v>125</v>
      </c>
      <c r="B9" s="36"/>
      <c r="E9" s="22">
        <f>'Arapahoe SL'!J29</f>
        <v>5.1939015151515155</v>
      </c>
    </row>
    <row r="10" spans="1:15" ht="13.8" thickBot="1" x14ac:dyDescent="0.3"/>
    <row r="11" spans="1:15" ht="13.8" thickTop="1" x14ac:dyDescent="0.25">
      <c r="A11" s="159" t="s">
        <v>3</v>
      </c>
      <c r="B11" s="84" t="s">
        <v>5</v>
      </c>
      <c r="C11" s="49"/>
      <c r="D11" s="49"/>
      <c r="E11" s="49"/>
      <c r="F11" s="49"/>
      <c r="G11" s="49"/>
      <c r="H11" s="50"/>
      <c r="I11" s="161" t="s">
        <v>8</v>
      </c>
      <c r="J11" s="157"/>
      <c r="K11" s="162"/>
      <c r="L11" s="156" t="s">
        <v>10</v>
      </c>
      <c r="M11" s="157"/>
      <c r="N11" s="158"/>
      <c r="O11" s="42"/>
    </row>
    <row r="12" spans="1:15" ht="51" customHeight="1" x14ac:dyDescent="0.25">
      <c r="A12" s="160"/>
      <c r="B12" s="30" t="s">
        <v>4</v>
      </c>
      <c r="C12" s="31" t="s">
        <v>6</v>
      </c>
      <c r="D12" s="31" t="s">
        <v>7</v>
      </c>
      <c r="E12" s="31" t="s">
        <v>6</v>
      </c>
      <c r="F12" s="32" t="s">
        <v>7</v>
      </c>
      <c r="G12" s="32" t="s">
        <v>152</v>
      </c>
      <c r="H12" s="33" t="s">
        <v>24</v>
      </c>
      <c r="I12" s="34" t="s">
        <v>9</v>
      </c>
      <c r="J12" s="31" t="s">
        <v>6</v>
      </c>
      <c r="K12" s="31" t="s">
        <v>7</v>
      </c>
      <c r="L12" s="31" t="s">
        <v>11</v>
      </c>
      <c r="M12" s="31" t="s">
        <v>6</v>
      </c>
      <c r="N12" s="33" t="s">
        <v>7</v>
      </c>
      <c r="O12" s="43" t="s">
        <v>71</v>
      </c>
    </row>
    <row r="13" spans="1:15" x14ac:dyDescent="0.25">
      <c r="A13" s="4">
        <v>1987</v>
      </c>
      <c r="B13" s="5">
        <f>9+7/60</f>
        <v>9.1166666666666671</v>
      </c>
      <c r="C13" s="6"/>
      <c r="D13" s="6"/>
      <c r="E13" s="7"/>
      <c r="F13" s="24"/>
      <c r="G13" s="85">
        <f t="shared" ref="G13:G22" si="0">B13/E$9</f>
        <v>1.7552636760769842</v>
      </c>
      <c r="H13" s="35">
        <f t="shared" ref="H13:H22" si="1">(E$5/B13)*60/5280</f>
        <v>20.541798238324748</v>
      </c>
      <c r="I13" s="27">
        <f>2+46/60</f>
        <v>2.7666666666666666</v>
      </c>
      <c r="J13" s="6"/>
      <c r="K13" s="6"/>
      <c r="L13" s="7">
        <f t="shared" ref="L13:L22" si="2">I13/B13</f>
        <v>0.30347349177330896</v>
      </c>
      <c r="M13" s="7"/>
      <c r="N13" s="8"/>
      <c r="O13" s="44">
        <f>'[1]01CNTART'!$AF$5</f>
        <v>24617.5</v>
      </c>
    </row>
    <row r="14" spans="1:15" x14ac:dyDescent="0.25">
      <c r="A14" s="9">
        <v>1989</v>
      </c>
      <c r="B14" s="10">
        <f>10+11/60</f>
        <v>10.183333333333334</v>
      </c>
      <c r="C14" s="10">
        <f t="shared" ref="C14:C22" si="3">B14-B13</f>
        <v>1.0666666666666664</v>
      </c>
      <c r="D14" s="10">
        <f t="shared" ref="D14:D22" si="4">B14-B$13</f>
        <v>1.0666666666666664</v>
      </c>
      <c r="E14" s="11">
        <f t="shared" ref="E14:E22" si="5">(B14-B13)/B13</f>
        <v>0.11700182815356487</v>
      </c>
      <c r="F14" s="25">
        <f t="shared" ref="F14:F22" si="6">(B14-B$13)/B$13</f>
        <v>0.11700182815356487</v>
      </c>
      <c r="G14" s="25">
        <f t="shared" si="0"/>
        <v>1.9606327350695381</v>
      </c>
      <c r="H14" s="37">
        <f t="shared" si="1"/>
        <v>18.390120517780094</v>
      </c>
      <c r="I14" s="28">
        <f>3+27/60</f>
        <v>3.45</v>
      </c>
      <c r="J14" s="10">
        <f t="shared" ref="J14:J22" si="7">I14-I13</f>
        <v>0.68333333333333357</v>
      </c>
      <c r="K14" s="10">
        <f t="shared" ref="K14:K22" si="8">I14-I$13</f>
        <v>0.68333333333333357</v>
      </c>
      <c r="L14" s="11">
        <f t="shared" si="2"/>
        <v>0.33878887070376434</v>
      </c>
      <c r="M14" s="11">
        <f t="shared" ref="M14:M22" si="9">L14-L13</f>
        <v>3.5315378930455388E-2</v>
      </c>
      <c r="N14" s="12">
        <f t="shared" ref="N14:N22" si="10">L14-L$13</f>
        <v>3.5315378930455388E-2</v>
      </c>
      <c r="O14" s="44">
        <f>'[1]01CNTART'!$AC$5</f>
        <v>22486</v>
      </c>
    </row>
    <row r="15" spans="1:15" x14ac:dyDescent="0.25">
      <c r="A15" s="9">
        <v>1991</v>
      </c>
      <c r="B15" s="10">
        <f>10+4/60</f>
        <v>10.066666666666666</v>
      </c>
      <c r="C15" s="10">
        <f t="shared" si="3"/>
        <v>-0.11666666666666714</v>
      </c>
      <c r="D15" s="10">
        <f t="shared" si="4"/>
        <v>0.94999999999999929</v>
      </c>
      <c r="E15" s="11">
        <f t="shared" si="5"/>
        <v>-1.145662847790512E-2</v>
      </c>
      <c r="F15" s="25">
        <f t="shared" si="6"/>
        <v>0.10420475319926865</v>
      </c>
      <c r="G15" s="25">
        <f t="shared" si="0"/>
        <v>1.9381704942422273</v>
      </c>
      <c r="H15" s="37">
        <f t="shared" si="1"/>
        <v>18.603251053582181</v>
      </c>
      <c r="I15" s="28">
        <f>3+30/60</f>
        <v>3.5</v>
      </c>
      <c r="J15" s="10">
        <f t="shared" si="7"/>
        <v>4.9999999999999822E-2</v>
      </c>
      <c r="K15" s="10">
        <f t="shared" si="8"/>
        <v>0.73333333333333339</v>
      </c>
      <c r="L15" s="11">
        <f t="shared" si="2"/>
        <v>0.34768211920529801</v>
      </c>
      <c r="M15" s="11">
        <f t="shared" si="9"/>
        <v>8.8932485015336682E-3</v>
      </c>
      <c r="N15" s="12">
        <f t="shared" si="10"/>
        <v>4.4208627431989056E-2</v>
      </c>
      <c r="O15" s="44">
        <f>'[1]01CNTART'!$Y$5</f>
        <v>23762</v>
      </c>
    </row>
    <row r="16" spans="1:15" x14ac:dyDescent="0.25">
      <c r="A16" s="9">
        <v>1993</v>
      </c>
      <c r="B16" s="10">
        <f>11+3/60</f>
        <v>11.05</v>
      </c>
      <c r="C16" s="10">
        <f t="shared" si="3"/>
        <v>0.98333333333333428</v>
      </c>
      <c r="D16" s="10">
        <f t="shared" si="4"/>
        <v>1.9333333333333336</v>
      </c>
      <c r="E16" s="11">
        <f t="shared" si="5"/>
        <v>9.768211920529811E-2</v>
      </c>
      <c r="F16" s="25">
        <f t="shared" si="6"/>
        <v>0.21206581352833639</v>
      </c>
      <c r="G16" s="25">
        <f t="shared" si="0"/>
        <v>2.1274950955009881</v>
      </c>
      <c r="H16" s="37">
        <f t="shared" si="1"/>
        <v>16.947758124228713</v>
      </c>
      <c r="I16" s="28">
        <f>4+31/60</f>
        <v>4.5166666666666666</v>
      </c>
      <c r="J16" s="10">
        <f t="shared" si="7"/>
        <v>1.0166666666666666</v>
      </c>
      <c r="K16" s="10">
        <f t="shared" si="8"/>
        <v>1.75</v>
      </c>
      <c r="L16" s="11">
        <f t="shared" si="2"/>
        <v>0.40874811463046756</v>
      </c>
      <c r="M16" s="11">
        <f t="shared" si="9"/>
        <v>6.106599542516955E-2</v>
      </c>
      <c r="N16" s="12">
        <f t="shared" si="10"/>
        <v>0.10527462285715861</v>
      </c>
      <c r="O16" s="44">
        <f>'[1]01CNTART'!$U$5</f>
        <v>25530</v>
      </c>
    </row>
    <row r="17" spans="1:15" x14ac:dyDescent="0.25">
      <c r="A17" s="9">
        <v>1995</v>
      </c>
      <c r="B17" s="10">
        <f>10+45/60</f>
        <v>10.75</v>
      </c>
      <c r="C17" s="10">
        <f t="shared" si="3"/>
        <v>-0.30000000000000071</v>
      </c>
      <c r="D17" s="10">
        <f t="shared" si="4"/>
        <v>1.6333333333333329</v>
      </c>
      <c r="E17" s="11">
        <f t="shared" si="5"/>
        <v>-2.7149321266968389E-2</v>
      </c>
      <c r="F17" s="25">
        <f t="shared" si="6"/>
        <v>0.17915904936014618</v>
      </c>
      <c r="G17" s="25">
        <f t="shared" si="0"/>
        <v>2.0697350476593321</v>
      </c>
      <c r="H17" s="37">
        <f t="shared" si="1"/>
        <v>17.420718816067652</v>
      </c>
      <c r="I17" s="28">
        <f>4+8/60</f>
        <v>4.1333333333333337</v>
      </c>
      <c r="J17" s="10">
        <f t="shared" si="7"/>
        <v>-0.38333333333333286</v>
      </c>
      <c r="K17" s="10">
        <f t="shared" si="8"/>
        <v>1.3666666666666671</v>
      </c>
      <c r="L17" s="11">
        <f t="shared" si="2"/>
        <v>0.3844961240310078</v>
      </c>
      <c r="M17" s="11">
        <f t="shared" si="9"/>
        <v>-2.4251990599459761E-2</v>
      </c>
      <c r="N17" s="12">
        <f t="shared" si="10"/>
        <v>8.1022632257698846E-2</v>
      </c>
      <c r="O17" s="44">
        <f>'[1]01CNTART'!$Q$5</f>
        <v>25156</v>
      </c>
    </row>
    <row r="18" spans="1:15" x14ac:dyDescent="0.25">
      <c r="A18" s="9">
        <v>1997</v>
      </c>
      <c r="B18" s="10">
        <f>9+43/60</f>
        <v>9.7166666666666668</v>
      </c>
      <c r="C18" s="10">
        <f t="shared" si="3"/>
        <v>-1.0333333333333332</v>
      </c>
      <c r="D18" s="10">
        <f t="shared" si="4"/>
        <v>0.59999999999999964</v>
      </c>
      <c r="E18" s="11">
        <f t="shared" si="5"/>
        <v>-9.6124031007751923E-2</v>
      </c>
      <c r="F18" s="25">
        <f t="shared" si="6"/>
        <v>6.5813528336380211E-2</v>
      </c>
      <c r="G18" s="25">
        <f t="shared" si="0"/>
        <v>1.8707837717602958</v>
      </c>
      <c r="H18" s="37">
        <f t="shared" si="1"/>
        <v>19.273351005769531</v>
      </c>
      <c r="I18" s="28">
        <f>3+10/60</f>
        <v>3.1666666666666665</v>
      </c>
      <c r="J18" s="10">
        <f t="shared" si="7"/>
        <v>-0.96666666666666723</v>
      </c>
      <c r="K18" s="10">
        <f t="shared" si="8"/>
        <v>0.39999999999999991</v>
      </c>
      <c r="L18" s="11">
        <f t="shared" si="2"/>
        <v>0.32590051457975983</v>
      </c>
      <c r="M18" s="11">
        <f t="shared" si="9"/>
        <v>-5.8595609451247976E-2</v>
      </c>
      <c r="N18" s="12">
        <f t="shared" si="10"/>
        <v>2.2427022806450869E-2</v>
      </c>
      <c r="O18" s="44">
        <f>'[1]01CNTART'!$M$5</f>
        <v>24515.666666666664</v>
      </c>
    </row>
    <row r="19" spans="1:15" x14ac:dyDescent="0.25">
      <c r="A19" s="9">
        <v>1999</v>
      </c>
      <c r="B19" s="10">
        <f>10+23/60</f>
        <v>10.383333333333333</v>
      </c>
      <c r="C19" s="10">
        <f t="shared" si="3"/>
        <v>0.66666666666666607</v>
      </c>
      <c r="D19" s="10">
        <f t="shared" si="4"/>
        <v>1.2666666666666657</v>
      </c>
      <c r="E19" s="11">
        <f t="shared" si="5"/>
        <v>6.861063464837043E-2</v>
      </c>
      <c r="F19" s="25">
        <f t="shared" si="6"/>
        <v>0.13893967093235821</v>
      </c>
      <c r="G19" s="25">
        <f t="shared" si="0"/>
        <v>1.9991394336306418</v>
      </c>
      <c r="H19" s="37">
        <f t="shared" si="1"/>
        <v>18.035896687582081</v>
      </c>
      <c r="I19" s="28">
        <f>3+59/60</f>
        <v>3.9833333333333334</v>
      </c>
      <c r="J19" s="10">
        <f t="shared" si="7"/>
        <v>0.81666666666666687</v>
      </c>
      <c r="K19" s="10">
        <f t="shared" si="8"/>
        <v>1.2166666666666668</v>
      </c>
      <c r="L19" s="11">
        <f t="shared" si="2"/>
        <v>0.3836276083467095</v>
      </c>
      <c r="M19" s="11">
        <f t="shared" si="9"/>
        <v>5.7727093766949678E-2</v>
      </c>
      <c r="N19" s="12">
        <f t="shared" si="10"/>
        <v>8.0154116573400547E-2</v>
      </c>
      <c r="O19" s="44">
        <f>'[1]01CNTART'!$I$5</f>
        <v>24969</v>
      </c>
    </row>
    <row r="20" spans="1:15" x14ac:dyDescent="0.25">
      <c r="A20" s="100">
        <v>2001</v>
      </c>
      <c r="B20" s="101">
        <f>17+47/60</f>
        <v>17.783333333333335</v>
      </c>
      <c r="C20" s="101">
        <f t="shared" si="3"/>
        <v>7.4000000000000021</v>
      </c>
      <c r="D20" s="101">
        <f t="shared" si="4"/>
        <v>8.6666666666666679</v>
      </c>
      <c r="E20" s="102">
        <f t="shared" si="5"/>
        <v>0.71268057784911742</v>
      </c>
      <c r="F20" s="103">
        <f t="shared" si="6"/>
        <v>0.95063985374771487</v>
      </c>
      <c r="G20" s="103">
        <f t="shared" si="0"/>
        <v>3.4238872803914848</v>
      </c>
      <c r="H20" s="104">
        <f t="shared" si="1"/>
        <v>10.530800034080258</v>
      </c>
      <c r="I20" s="105">
        <f>5+18/60</f>
        <v>5.3</v>
      </c>
      <c r="J20" s="101">
        <f t="shared" si="7"/>
        <v>1.3166666666666664</v>
      </c>
      <c r="K20" s="101">
        <f t="shared" si="8"/>
        <v>2.5333333333333332</v>
      </c>
      <c r="L20" s="102">
        <f t="shared" si="2"/>
        <v>0.29803186504217427</v>
      </c>
      <c r="M20" s="102">
        <f t="shared" si="9"/>
        <v>-8.5595743304535232E-2</v>
      </c>
      <c r="N20" s="106">
        <f t="shared" si="10"/>
        <v>-5.4416267311346855E-3</v>
      </c>
      <c r="O20" s="44">
        <f>'[1]01CNTART'!$E$5</f>
        <v>26763</v>
      </c>
    </row>
    <row r="21" spans="1:15" x14ac:dyDescent="0.25">
      <c r="A21" s="9">
        <v>2003</v>
      </c>
      <c r="B21" s="10">
        <f>17+14/60</f>
        <v>17.233333333333334</v>
      </c>
      <c r="C21" s="10">
        <f t="shared" si="3"/>
        <v>-0.55000000000000071</v>
      </c>
      <c r="D21" s="10">
        <f t="shared" si="4"/>
        <v>8.1166666666666671</v>
      </c>
      <c r="E21" s="11">
        <f t="shared" si="5"/>
        <v>-3.0927835051546428E-2</v>
      </c>
      <c r="F21" s="25">
        <f t="shared" si="6"/>
        <v>0.89031078610603287</v>
      </c>
      <c r="G21" s="25">
        <f t="shared" si="0"/>
        <v>3.3179938593484493</v>
      </c>
      <c r="H21" s="37">
        <f t="shared" si="1"/>
        <v>10.866889396870054</v>
      </c>
      <c r="I21" s="28">
        <f>4+53/60</f>
        <v>4.8833333333333329</v>
      </c>
      <c r="J21" s="10">
        <f t="shared" si="7"/>
        <v>-0.41666666666666696</v>
      </c>
      <c r="K21" s="10">
        <f t="shared" si="8"/>
        <v>2.1166666666666663</v>
      </c>
      <c r="L21" s="11">
        <f t="shared" si="2"/>
        <v>0.28336557059961309</v>
      </c>
      <c r="M21" s="11">
        <f t="shared" si="9"/>
        <v>-1.4666294442561179E-2</v>
      </c>
      <c r="N21" s="12">
        <f t="shared" si="10"/>
        <v>-2.0107921173695864E-2</v>
      </c>
      <c r="O21" s="107">
        <f>'[2]05CNTART'!$I$5</f>
        <v>23940.75</v>
      </c>
    </row>
    <row r="22" spans="1:15" x14ac:dyDescent="0.25">
      <c r="A22" s="9">
        <v>2005</v>
      </c>
      <c r="B22" s="10">
        <f>9+35/60</f>
        <v>9.5833333333333339</v>
      </c>
      <c r="C22" s="10">
        <f t="shared" si="3"/>
        <v>-7.65</v>
      </c>
      <c r="D22" s="10">
        <f t="shared" si="4"/>
        <v>0.46666666666666679</v>
      </c>
      <c r="E22" s="11">
        <f t="shared" si="5"/>
        <v>-0.44390715667311409</v>
      </c>
      <c r="F22" s="25">
        <f t="shared" si="6"/>
        <v>5.1188299817184653E-2</v>
      </c>
      <c r="G22" s="25">
        <f t="shared" si="0"/>
        <v>1.8451126393862265</v>
      </c>
      <c r="H22" s="37">
        <f t="shared" si="1"/>
        <v>19.541501976284582</v>
      </c>
      <c r="I22" s="28">
        <f>3+18/60</f>
        <v>3.3</v>
      </c>
      <c r="J22" s="10">
        <f t="shared" si="7"/>
        <v>-1.583333333333333</v>
      </c>
      <c r="K22" s="10">
        <f t="shared" si="8"/>
        <v>0.53333333333333321</v>
      </c>
      <c r="L22" s="11">
        <f t="shared" si="2"/>
        <v>0.34434782608695647</v>
      </c>
      <c r="M22" s="11">
        <f t="shared" si="9"/>
        <v>6.0982255487343373E-2</v>
      </c>
      <c r="N22" s="12">
        <f t="shared" si="10"/>
        <v>4.0874334313647509E-2</v>
      </c>
      <c r="O22" s="107">
        <f>'[2]05CNTART'!$E$5</f>
        <v>24132</v>
      </c>
    </row>
    <row r="23" spans="1:15" x14ac:dyDescent="0.25">
      <c r="A23" s="9">
        <v>2007</v>
      </c>
      <c r="B23" s="10">
        <f>9+6/60</f>
        <v>9.1</v>
      </c>
      <c r="C23" s="10">
        <f>B23-B22</f>
        <v>-0.48333333333333428</v>
      </c>
      <c r="D23" s="10">
        <f t="shared" ref="D23:D24" si="11">B23-B$13</f>
        <v>-1.6666666666667496E-2</v>
      </c>
      <c r="E23" s="11">
        <f t="shared" ref="E23" si="12">(B23-B22)/B22</f>
        <v>-5.0434782608695751E-2</v>
      </c>
      <c r="F23" s="25">
        <f t="shared" ref="F23:F24" si="13">(B23-B$13)/B$13</f>
        <v>-1.8281535648995424E-3</v>
      </c>
      <c r="G23" s="25">
        <f t="shared" ref="G23:G24" si="14">B23/E$9</f>
        <v>1.7520547845302255</v>
      </c>
      <c r="H23" s="37">
        <f t="shared" ref="H23:H24" si="15">(E$5/B23)*60/5280</f>
        <v>20.579420579420582</v>
      </c>
      <c r="I23" s="28">
        <f>2+50/60</f>
        <v>2.8333333333333335</v>
      </c>
      <c r="J23" s="10">
        <f t="shared" ref="J23" si="16">I23-I22</f>
        <v>-0.46666666666666634</v>
      </c>
      <c r="K23" s="10">
        <f t="shared" ref="K23:K24" si="17">I23-I$13</f>
        <v>6.6666666666666874E-2</v>
      </c>
      <c r="L23" s="11">
        <f t="shared" ref="L23:L24" si="18">I23/B23</f>
        <v>0.31135531135531136</v>
      </c>
      <c r="M23" s="11">
        <f t="shared" ref="M23" si="19">L23-L22</f>
        <v>-3.2992514731645106E-2</v>
      </c>
      <c r="N23" s="12">
        <f t="shared" ref="N23:N24" si="20">L23-L$13</f>
        <v>7.8818195820024028E-3</v>
      </c>
      <c r="O23" s="121">
        <f>'[3]13CNTART'!$Q$5</f>
        <v>22630.75</v>
      </c>
    </row>
    <row r="24" spans="1:15" x14ac:dyDescent="0.25">
      <c r="A24" s="9">
        <v>2010</v>
      </c>
      <c r="B24" s="10">
        <f>9+38/60</f>
        <v>9.6333333333333329</v>
      </c>
      <c r="C24" s="10">
        <f>B24-B23</f>
        <v>0.53333333333333321</v>
      </c>
      <c r="D24" s="10">
        <f t="shared" si="11"/>
        <v>0.51666666666666572</v>
      </c>
      <c r="E24" s="11">
        <f>(B24-B23)/B23</f>
        <v>5.8608058608058594E-2</v>
      </c>
      <c r="F24" s="25">
        <f t="shared" si="13"/>
        <v>5.6672760511882893E-2</v>
      </c>
      <c r="G24" s="25">
        <f t="shared" si="14"/>
        <v>1.8547393140265023</v>
      </c>
      <c r="H24" s="37">
        <f t="shared" si="15"/>
        <v>19.440075495438816</v>
      </c>
      <c r="I24" s="28">
        <f>3+13/60</f>
        <v>3.2166666666666668</v>
      </c>
      <c r="J24" s="10">
        <f>I24-I23</f>
        <v>0.3833333333333333</v>
      </c>
      <c r="K24" s="10">
        <f t="shared" si="17"/>
        <v>0.45000000000000018</v>
      </c>
      <c r="L24" s="11">
        <f t="shared" si="18"/>
        <v>0.33391003460207613</v>
      </c>
      <c r="M24" s="11">
        <f>L24-L23</f>
        <v>2.2554723246764774E-2</v>
      </c>
      <c r="N24" s="12">
        <f t="shared" si="20"/>
        <v>3.0436542828767177E-2</v>
      </c>
      <c r="O24" s="121">
        <f>'[3]13CNTART'!$K$5</f>
        <v>24035.25</v>
      </c>
    </row>
    <row r="25" spans="1:15" x14ac:dyDescent="0.25">
      <c r="A25" s="9">
        <v>2012</v>
      </c>
      <c r="B25" s="10"/>
      <c r="C25" s="10"/>
      <c r="D25" s="10"/>
      <c r="E25" s="11"/>
      <c r="F25" s="25"/>
      <c r="G25" s="25"/>
      <c r="H25" s="37"/>
      <c r="I25" s="28"/>
      <c r="J25" s="10"/>
      <c r="K25" s="10"/>
      <c r="L25" s="11"/>
      <c r="M25" s="11"/>
      <c r="N25" s="12"/>
      <c r="O25" s="121">
        <f>'[4]16 AAWDT CNTART'!$M$5</f>
        <v>20520.694528789485</v>
      </c>
    </row>
    <row r="26" spans="1:15" ht="13.8" thickBot="1" x14ac:dyDescent="0.3">
      <c r="A26" s="13">
        <v>2014</v>
      </c>
      <c r="B26" s="14">
        <f>9+26/60</f>
        <v>9.4333333333333336</v>
      </c>
      <c r="C26" s="14">
        <f>B26-B24</f>
        <v>-0.19999999999999929</v>
      </c>
      <c r="D26" s="14">
        <f t="shared" ref="D26" si="21">B26-B$13</f>
        <v>0.31666666666666643</v>
      </c>
      <c r="E26" s="15">
        <f>(B26-B24)/B24</f>
        <v>-2.076124567474041E-2</v>
      </c>
      <c r="F26" s="26">
        <f t="shared" ref="F26" si="22">(B26-B$13)/B$13</f>
        <v>3.4734917733089551E-2</v>
      </c>
      <c r="G26" s="26">
        <f t="shared" ref="G26" si="23">B26/E$9</f>
        <v>1.8162326154653985</v>
      </c>
      <c r="H26" s="99">
        <f t="shared" ref="H26" si="24">(E$5/B26)*60/5280</f>
        <v>19.852232573080631</v>
      </c>
      <c r="I26" s="29">
        <f>3+3/60</f>
        <v>3.05</v>
      </c>
      <c r="J26" s="14">
        <f>I26-I24</f>
        <v>-0.16666666666666696</v>
      </c>
      <c r="K26" s="14">
        <f t="shared" ref="K26" si="25">I26-I$13</f>
        <v>0.28333333333333321</v>
      </c>
      <c r="L26" s="15">
        <f t="shared" ref="L26" si="26">I26/B26</f>
        <v>0.32332155477031799</v>
      </c>
      <c r="M26" s="15">
        <f>L26-L24</f>
        <v>-1.0588479831758146E-2</v>
      </c>
      <c r="N26" s="16">
        <f t="shared" ref="N26" si="27">L26-L$13</f>
        <v>1.9848062997009031E-2</v>
      </c>
      <c r="O26" s="150">
        <f>'[4]16 AAWDT CNTART'!$I$5</f>
        <v>22162.304558252406</v>
      </c>
    </row>
    <row r="27" spans="1:15" ht="13.8" thickTop="1" x14ac:dyDescent="0.25"/>
    <row r="28" spans="1:15" x14ac:dyDescent="0.25">
      <c r="A28" t="s">
        <v>14</v>
      </c>
    </row>
    <row r="29" spans="1:15" x14ac:dyDescent="0.25">
      <c r="A29" t="s">
        <v>72</v>
      </c>
    </row>
  </sheetData>
  <mergeCells count="3">
    <mergeCell ref="L11:N11"/>
    <mergeCell ref="A11:A12"/>
    <mergeCell ref="I11:K11"/>
  </mergeCells>
  <phoneticPr fontId="7" type="noConversion"/>
  <pageMargins left="0.75" right="0.75" top="1" bottom="1" header="0.5" footer="0.5"/>
  <pageSetup paperSize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C1" zoomScaleNormal="100" workbookViewId="0">
      <selection activeCell="D24" sqref="D24"/>
    </sheetView>
  </sheetViews>
  <sheetFormatPr defaultColWidth="9.109375" defaultRowHeight="14.4" x14ac:dyDescent="0.3"/>
  <cols>
    <col min="1" max="1" width="16.44140625" style="126" customWidth="1"/>
    <col min="2" max="2" width="12.88671875" style="126" customWidth="1"/>
    <col min="3" max="3" width="16.44140625" style="126" customWidth="1"/>
    <col min="4" max="4" width="34.88671875" style="126" customWidth="1"/>
    <col min="5" max="5" width="10.88671875" style="126" customWidth="1"/>
    <col min="6" max="6" width="10.44140625" style="126" customWidth="1"/>
    <col min="7" max="7" width="18.88671875" style="126" customWidth="1"/>
    <col min="8" max="8" width="16.33203125" style="126" customWidth="1"/>
    <col min="9" max="9" width="12.5546875" style="126" customWidth="1"/>
    <col min="10" max="10" width="2.33203125" style="126" customWidth="1"/>
    <col min="11" max="11" width="0.44140625" style="126" hidden="1" customWidth="1"/>
    <col min="12" max="16384" width="9.109375" style="126"/>
  </cols>
  <sheetData>
    <row r="1" spans="1:15" ht="72.599999999999994" thickBot="1" x14ac:dyDescent="0.35">
      <c r="A1" s="171" t="s">
        <v>214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M1" s="130" t="s">
        <v>294</v>
      </c>
      <c r="N1" s="130" t="s">
        <v>295</v>
      </c>
      <c r="O1" s="130"/>
    </row>
    <row r="2" spans="1:15" ht="16.8" thickTop="1" thickBot="1" x14ac:dyDescent="0.35">
      <c r="A2" s="127" t="s">
        <v>215</v>
      </c>
      <c r="B2" s="127" t="s">
        <v>216</v>
      </c>
      <c r="C2" s="127" t="s">
        <v>217</v>
      </c>
      <c r="D2" s="127" t="s">
        <v>218</v>
      </c>
      <c r="E2" s="127" t="s">
        <v>219</v>
      </c>
      <c r="F2" s="127" t="s">
        <v>28</v>
      </c>
      <c r="G2" s="170" t="s">
        <v>220</v>
      </c>
      <c r="H2" s="170"/>
      <c r="I2" s="170"/>
      <c r="J2" s="170"/>
      <c r="K2" s="170"/>
    </row>
    <row r="3" spans="1:15" x14ac:dyDescent="0.3">
      <c r="A3" s="128" t="s">
        <v>221</v>
      </c>
      <c r="B3" s="128" t="s">
        <v>222</v>
      </c>
      <c r="C3" s="128" t="s">
        <v>223</v>
      </c>
      <c r="D3" s="128" t="s">
        <v>224</v>
      </c>
      <c r="E3" s="128">
        <v>13637</v>
      </c>
      <c r="F3" s="128" t="s">
        <v>225</v>
      </c>
      <c r="G3" s="172"/>
      <c r="H3" s="172"/>
      <c r="I3" s="172"/>
      <c r="J3" s="172"/>
      <c r="K3" s="172"/>
      <c r="L3" s="131"/>
      <c r="M3" s="128"/>
    </row>
    <row r="4" spans="1:15" x14ac:dyDescent="0.3">
      <c r="A4" s="128" t="s">
        <v>226</v>
      </c>
      <c r="B4" s="128" t="s">
        <v>227</v>
      </c>
      <c r="C4" s="128" t="s">
        <v>223</v>
      </c>
      <c r="D4" s="128" t="s">
        <v>228</v>
      </c>
      <c r="E4" s="128">
        <v>190</v>
      </c>
      <c r="F4" s="128" t="s">
        <v>229</v>
      </c>
      <c r="G4" s="168"/>
      <c r="H4" s="168"/>
      <c r="I4" s="168"/>
      <c r="J4" s="168"/>
      <c r="K4" s="168"/>
      <c r="L4" s="131"/>
      <c r="M4" s="128"/>
    </row>
    <row r="5" spans="1:15" x14ac:dyDescent="0.3">
      <c r="A5" s="128" t="s">
        <v>230</v>
      </c>
      <c r="B5" s="128" t="s">
        <v>222</v>
      </c>
      <c r="C5" s="128" t="s">
        <v>223</v>
      </c>
      <c r="D5" s="128" t="s">
        <v>231</v>
      </c>
      <c r="E5" s="128">
        <v>16420</v>
      </c>
      <c r="F5" s="128" t="s">
        <v>232</v>
      </c>
      <c r="G5" s="168"/>
      <c r="H5" s="168"/>
      <c r="I5" s="168"/>
      <c r="J5" s="168"/>
      <c r="K5" s="168"/>
      <c r="L5" s="131"/>
      <c r="M5" s="128"/>
    </row>
    <row r="6" spans="1:15" x14ac:dyDescent="0.3">
      <c r="A6" s="128" t="s">
        <v>230</v>
      </c>
      <c r="B6" s="128" t="s">
        <v>222</v>
      </c>
      <c r="C6" s="128" t="s">
        <v>223</v>
      </c>
      <c r="D6" s="128" t="s">
        <v>233</v>
      </c>
      <c r="E6" s="128">
        <v>16422</v>
      </c>
      <c r="F6" s="128" t="s">
        <v>234</v>
      </c>
      <c r="G6" s="168"/>
      <c r="H6" s="168"/>
      <c r="I6" s="168"/>
      <c r="J6" s="168"/>
      <c r="K6" s="168"/>
      <c r="L6" s="131">
        <f>SUM(Distances!P4:P10,380,107)</f>
        <v>3527</v>
      </c>
      <c r="M6" s="128">
        <v>20</v>
      </c>
      <c r="N6" s="137">
        <f>(L6*B$44)/(M6*B$43)</f>
        <v>2.0039772727272727</v>
      </c>
    </row>
    <row r="7" spans="1:15" x14ac:dyDescent="0.3">
      <c r="A7" s="128" t="s">
        <v>230</v>
      </c>
      <c r="B7" s="128" t="s">
        <v>222</v>
      </c>
      <c r="C7" s="128" t="s">
        <v>223</v>
      </c>
      <c r="D7" s="128" t="s">
        <v>235</v>
      </c>
      <c r="E7" s="128">
        <v>16373</v>
      </c>
      <c r="F7" s="128" t="s">
        <v>236</v>
      </c>
      <c r="G7" s="168"/>
      <c r="H7" s="168"/>
      <c r="I7" s="168"/>
      <c r="J7" s="168"/>
      <c r="K7" s="168"/>
      <c r="L7" s="131"/>
      <c r="M7" s="128"/>
    </row>
    <row r="8" spans="1:15" x14ac:dyDescent="0.3">
      <c r="A8" s="128" t="s">
        <v>237</v>
      </c>
      <c r="B8" s="128" t="s">
        <v>238</v>
      </c>
      <c r="D8" s="128"/>
      <c r="E8" s="128"/>
      <c r="F8" s="128" t="s">
        <v>239</v>
      </c>
      <c r="G8" s="168" t="s">
        <v>240</v>
      </c>
      <c r="H8" s="168"/>
      <c r="I8" s="168"/>
      <c r="J8" s="168"/>
      <c r="K8" s="168"/>
      <c r="L8" s="132"/>
    </row>
    <row r="9" spans="1:15" x14ac:dyDescent="0.3">
      <c r="A9" s="128" t="s">
        <v>221</v>
      </c>
      <c r="B9" s="128" t="s">
        <v>222</v>
      </c>
      <c r="C9" s="128" t="s">
        <v>223</v>
      </c>
      <c r="D9" s="128" t="s">
        <v>241</v>
      </c>
      <c r="E9" s="128">
        <v>13627</v>
      </c>
      <c r="F9" s="128" t="s">
        <v>242</v>
      </c>
      <c r="G9" s="168"/>
      <c r="H9" s="168"/>
      <c r="I9" s="168"/>
      <c r="J9" s="168"/>
      <c r="K9" s="168"/>
      <c r="L9" s="131"/>
      <c r="M9" s="128"/>
    </row>
    <row r="10" spans="1:15" x14ac:dyDescent="0.3">
      <c r="A10" s="128" t="s">
        <v>221</v>
      </c>
      <c r="B10" s="128" t="s">
        <v>222</v>
      </c>
      <c r="C10" s="128" t="s">
        <v>243</v>
      </c>
      <c r="D10" s="128" t="s">
        <v>244</v>
      </c>
      <c r="E10" s="128">
        <v>13630</v>
      </c>
      <c r="F10" s="128">
        <v>107</v>
      </c>
      <c r="G10" s="168"/>
      <c r="H10" s="168"/>
      <c r="I10" s="168"/>
      <c r="J10" s="168"/>
      <c r="K10" s="168"/>
      <c r="L10" s="131"/>
      <c r="M10" s="128"/>
    </row>
    <row r="11" spans="1:15" x14ac:dyDescent="0.3">
      <c r="A11" s="128" t="s">
        <v>221</v>
      </c>
      <c r="B11" s="128" t="s">
        <v>222</v>
      </c>
      <c r="C11" s="128" t="s">
        <v>243</v>
      </c>
      <c r="D11" s="128" t="s">
        <v>245</v>
      </c>
      <c r="E11" s="128">
        <v>13654</v>
      </c>
      <c r="F11" s="128" t="s">
        <v>246</v>
      </c>
      <c r="G11" s="168"/>
      <c r="H11" s="168"/>
      <c r="I11" s="168"/>
      <c r="J11" s="168"/>
      <c r="K11" s="168"/>
      <c r="L11" s="133"/>
      <c r="M11" s="128"/>
    </row>
    <row r="12" spans="1:15" x14ac:dyDescent="0.3">
      <c r="A12" s="128" t="s">
        <v>221</v>
      </c>
      <c r="B12" s="128" t="s">
        <v>222</v>
      </c>
      <c r="C12" s="128" t="s">
        <v>243</v>
      </c>
      <c r="D12" s="128" t="s">
        <v>247</v>
      </c>
      <c r="E12" s="128">
        <v>13759</v>
      </c>
      <c r="F12" s="128" t="s">
        <v>248</v>
      </c>
      <c r="G12" s="168"/>
      <c r="H12" s="168"/>
      <c r="I12" s="168"/>
      <c r="J12" s="168"/>
      <c r="K12" s="168"/>
      <c r="L12" s="133">
        <f>SUM(Distances!P11:P15,-380,-107,285)</f>
        <v>5538</v>
      </c>
      <c r="M12" s="128">
        <v>30</v>
      </c>
      <c r="N12" s="137">
        <f>(L12*B$44)/(M12*B$43)</f>
        <v>2.0977272727272727</v>
      </c>
    </row>
    <row r="13" spans="1:15" x14ac:dyDescent="0.3">
      <c r="A13" s="128" t="s">
        <v>221</v>
      </c>
      <c r="B13" s="128" t="s">
        <v>222</v>
      </c>
      <c r="C13" s="128" t="s">
        <v>243</v>
      </c>
      <c r="D13" s="128" t="s">
        <v>249</v>
      </c>
      <c r="E13" s="128">
        <v>13657</v>
      </c>
      <c r="F13" s="128" t="s">
        <v>250</v>
      </c>
      <c r="G13" s="168"/>
      <c r="H13" s="168"/>
      <c r="I13" s="168"/>
      <c r="J13" s="168"/>
      <c r="K13" s="168"/>
      <c r="L13" s="133"/>
      <c r="M13" s="128"/>
    </row>
    <row r="14" spans="1:15" customFormat="1" ht="13.2" x14ac:dyDescent="0.25">
      <c r="A14" s="146" t="s">
        <v>221</v>
      </c>
      <c r="B14" s="146" t="s">
        <v>222</v>
      </c>
      <c r="C14" s="146" t="s">
        <v>252</v>
      </c>
      <c r="D14" s="146" t="s">
        <v>300</v>
      </c>
      <c r="E14" s="146" t="s">
        <v>301</v>
      </c>
      <c r="F14" s="146">
        <v>285</v>
      </c>
      <c r="G14" s="147" t="s">
        <v>302</v>
      </c>
      <c r="H14" s="146"/>
      <c r="I14" s="146"/>
      <c r="J14" s="55"/>
      <c r="K14" s="55"/>
      <c r="L14" s="149"/>
    </row>
    <row r="15" spans="1:15" x14ac:dyDescent="0.3">
      <c r="A15" s="128" t="s">
        <v>251</v>
      </c>
      <c r="B15" s="128" t="s">
        <v>222</v>
      </c>
      <c r="C15" s="128" t="s">
        <v>252</v>
      </c>
      <c r="D15" s="128" t="s">
        <v>253</v>
      </c>
      <c r="E15" s="128">
        <v>13518</v>
      </c>
      <c r="F15" s="128" t="s">
        <v>254</v>
      </c>
      <c r="G15" s="168"/>
      <c r="H15" s="168"/>
      <c r="I15" s="168"/>
      <c r="J15" s="168"/>
      <c r="K15" s="168"/>
      <c r="L15" s="131"/>
      <c r="M15" s="128"/>
    </row>
    <row r="16" spans="1:15" x14ac:dyDescent="0.3">
      <c r="A16" s="128" t="s">
        <v>251</v>
      </c>
      <c r="B16" s="128" t="s">
        <v>222</v>
      </c>
      <c r="C16" s="128" t="s">
        <v>252</v>
      </c>
      <c r="D16" s="128" t="s">
        <v>255</v>
      </c>
      <c r="E16" s="128">
        <v>30771</v>
      </c>
      <c r="F16" s="128" t="s">
        <v>256</v>
      </c>
      <c r="G16" s="168"/>
      <c r="H16" s="168"/>
      <c r="I16" s="168"/>
      <c r="J16" s="168"/>
      <c r="K16" s="168"/>
      <c r="L16" s="131">
        <f>SUM(Distances!P16:P19,-285,472)</f>
        <v>4587</v>
      </c>
      <c r="M16" s="128">
        <v>35</v>
      </c>
      <c r="N16" s="137">
        <f>(L16*B$44)/(M16*B$43)</f>
        <v>1.4892857142857143</v>
      </c>
    </row>
    <row r="17" spans="1:15" x14ac:dyDescent="0.3">
      <c r="A17" s="128" t="s">
        <v>251</v>
      </c>
      <c r="B17" s="128" t="s">
        <v>222</v>
      </c>
      <c r="C17" s="128" t="s">
        <v>257</v>
      </c>
      <c r="D17" s="128" t="s">
        <v>258</v>
      </c>
      <c r="E17" s="128">
        <v>13524</v>
      </c>
      <c r="F17" s="128" t="s">
        <v>259</v>
      </c>
      <c r="G17" s="168"/>
      <c r="H17" s="168"/>
      <c r="I17" s="168"/>
      <c r="J17" s="168"/>
      <c r="K17" s="168"/>
      <c r="L17" s="132"/>
    </row>
    <row r="18" spans="1:15" x14ac:dyDescent="0.3">
      <c r="A18" s="128" t="s">
        <v>251</v>
      </c>
      <c r="B18" s="128" t="s">
        <v>222</v>
      </c>
      <c r="C18" s="128" t="s">
        <v>257</v>
      </c>
      <c r="D18" s="128" t="s">
        <v>260</v>
      </c>
      <c r="E18" s="128">
        <v>13539</v>
      </c>
      <c r="F18" s="128" t="s">
        <v>261</v>
      </c>
      <c r="G18" s="168"/>
      <c r="H18" s="168"/>
      <c r="I18" s="168"/>
      <c r="J18" s="168"/>
      <c r="K18" s="168"/>
      <c r="L18" s="134"/>
    </row>
    <row r="19" spans="1:15" x14ac:dyDescent="0.3">
      <c r="A19" s="128" t="s">
        <v>251</v>
      </c>
      <c r="B19" s="128" t="s">
        <v>222</v>
      </c>
      <c r="C19" s="128" t="s">
        <v>257</v>
      </c>
      <c r="D19" s="128" t="s">
        <v>262</v>
      </c>
      <c r="E19" s="128">
        <v>32101</v>
      </c>
      <c r="F19" s="128">
        <v>771</v>
      </c>
      <c r="G19" s="168"/>
      <c r="H19" s="168"/>
      <c r="I19" s="168"/>
      <c r="J19" s="168"/>
      <c r="K19" s="168"/>
      <c r="L19" s="133">
        <f>SUM(Distances!P20:P22,-472)</f>
        <v>8188</v>
      </c>
      <c r="M19" s="128">
        <v>40</v>
      </c>
      <c r="N19" s="137">
        <f>(L19*B$44)/(M19*B$43)</f>
        <v>2.3261363636363637</v>
      </c>
    </row>
    <row r="20" spans="1:15" x14ac:dyDescent="0.3">
      <c r="A20" s="128" t="s">
        <v>251</v>
      </c>
      <c r="B20" s="128" t="s">
        <v>222</v>
      </c>
      <c r="C20" s="128" t="s">
        <v>257</v>
      </c>
      <c r="D20" s="128" t="s">
        <v>263</v>
      </c>
      <c r="E20" s="128" t="s">
        <v>264</v>
      </c>
      <c r="F20" s="128" t="s">
        <v>146</v>
      </c>
      <c r="G20" s="168"/>
      <c r="H20" s="168"/>
      <c r="I20" s="168"/>
      <c r="J20" s="168"/>
      <c r="K20" s="168"/>
      <c r="L20" s="134"/>
    </row>
    <row r="21" spans="1:15" ht="24.9" customHeight="1" thickBot="1" x14ac:dyDescent="0.35">
      <c r="A21" s="129"/>
      <c r="B21" s="129"/>
      <c r="C21" s="129"/>
      <c r="D21" s="129"/>
      <c r="E21" s="129"/>
      <c r="F21" s="129"/>
      <c r="G21" s="169"/>
      <c r="H21" s="169"/>
      <c r="I21" s="169"/>
      <c r="J21" s="169"/>
      <c r="K21" s="169"/>
      <c r="L21" s="126">
        <f>SUM(L3:L20)</f>
        <v>21840</v>
      </c>
      <c r="M21" s="136">
        <f>SUM(L6*M6,L12*M12,L16*M16,L19*M19)/L21</f>
        <v>33.184294871794869</v>
      </c>
      <c r="N21" s="137">
        <f>SUM(N3:N20)</f>
        <v>7.9171266233766229</v>
      </c>
      <c r="O21" s="137"/>
    </row>
    <row r="22" spans="1:15" ht="16.8" thickTop="1" thickBot="1" x14ac:dyDescent="0.35">
      <c r="A22" s="127" t="s">
        <v>215</v>
      </c>
      <c r="B22" s="127" t="s">
        <v>216</v>
      </c>
      <c r="C22" s="127" t="s">
        <v>217</v>
      </c>
      <c r="D22" s="127" t="s">
        <v>265</v>
      </c>
      <c r="E22" s="127"/>
      <c r="F22" s="127" t="s">
        <v>28</v>
      </c>
      <c r="G22" s="170" t="s">
        <v>220</v>
      </c>
      <c r="H22" s="170"/>
      <c r="I22" s="170"/>
      <c r="J22" s="170"/>
      <c r="K22" s="170"/>
      <c r="L22" s="135"/>
    </row>
    <row r="23" spans="1:15" x14ac:dyDescent="0.3">
      <c r="A23" s="128" t="s">
        <v>251</v>
      </c>
      <c r="B23" s="128" t="s">
        <v>266</v>
      </c>
      <c r="C23" s="128" t="s">
        <v>257</v>
      </c>
      <c r="D23" s="128" t="s">
        <v>267</v>
      </c>
      <c r="E23" s="128" t="s">
        <v>264</v>
      </c>
      <c r="F23" s="128" t="s">
        <v>268</v>
      </c>
      <c r="G23" s="168"/>
      <c r="H23" s="168"/>
      <c r="I23" s="168"/>
      <c r="J23" s="168"/>
      <c r="K23" s="168"/>
      <c r="L23" s="134"/>
    </row>
    <row r="24" spans="1:15" x14ac:dyDescent="0.3">
      <c r="A24" s="128" t="s">
        <v>251</v>
      </c>
      <c r="B24" s="128" t="s">
        <v>266</v>
      </c>
      <c r="C24" s="128" t="s">
        <v>257</v>
      </c>
      <c r="D24" s="128" t="s">
        <v>269</v>
      </c>
      <c r="E24" s="128" t="s">
        <v>264</v>
      </c>
      <c r="F24" s="128" t="s">
        <v>270</v>
      </c>
      <c r="G24" s="168"/>
      <c r="H24" s="168"/>
      <c r="I24" s="168"/>
      <c r="J24" s="168"/>
      <c r="K24" s="168"/>
      <c r="L24" s="134"/>
    </row>
    <row r="25" spans="1:15" x14ac:dyDescent="0.3">
      <c r="A25" s="128" t="s">
        <v>251</v>
      </c>
      <c r="B25" s="128" t="s">
        <v>266</v>
      </c>
      <c r="C25" s="128" t="s">
        <v>257</v>
      </c>
      <c r="D25" s="128" t="s">
        <v>271</v>
      </c>
      <c r="E25" s="128">
        <v>26017</v>
      </c>
      <c r="F25" s="128" t="s">
        <v>272</v>
      </c>
      <c r="G25" s="168"/>
      <c r="H25" s="168"/>
      <c r="I25" s="168"/>
      <c r="J25" s="168"/>
      <c r="K25" s="168"/>
      <c r="L25" s="134">
        <f>SUM(Distances!P20:P22,-404)</f>
        <v>8256</v>
      </c>
      <c r="M25" s="126">
        <v>40</v>
      </c>
      <c r="N25" s="137">
        <f>(L25*B$44)/(M25*B$43)</f>
        <v>2.3454545454545452</v>
      </c>
    </row>
    <row r="26" spans="1:15" x14ac:dyDescent="0.3">
      <c r="A26" s="128" t="s">
        <v>251</v>
      </c>
      <c r="B26" s="128" t="s">
        <v>266</v>
      </c>
      <c r="C26" s="128" t="s">
        <v>257</v>
      </c>
      <c r="D26" s="128" t="s">
        <v>273</v>
      </c>
      <c r="E26" s="128">
        <v>13569</v>
      </c>
      <c r="F26" s="128" t="s">
        <v>274</v>
      </c>
      <c r="G26" s="168"/>
      <c r="H26" s="168"/>
      <c r="I26" s="168"/>
      <c r="J26" s="168"/>
      <c r="K26" s="168"/>
      <c r="L26" s="134"/>
    </row>
    <row r="27" spans="1:15" x14ac:dyDescent="0.3">
      <c r="A27" s="128" t="s">
        <v>251</v>
      </c>
      <c r="B27" s="128" t="s">
        <v>266</v>
      </c>
      <c r="C27" s="128" t="s">
        <v>257</v>
      </c>
      <c r="D27" s="128" t="s">
        <v>275</v>
      </c>
      <c r="E27" s="128">
        <v>13580</v>
      </c>
      <c r="F27" s="128" t="s">
        <v>276</v>
      </c>
      <c r="G27" s="168"/>
      <c r="H27" s="168"/>
      <c r="I27" s="168"/>
      <c r="J27" s="168"/>
      <c r="K27" s="168"/>
      <c r="L27" s="134"/>
    </row>
    <row r="28" spans="1:15" x14ac:dyDescent="0.3">
      <c r="A28" s="128" t="s">
        <v>251</v>
      </c>
      <c r="B28" s="128" t="s">
        <v>266</v>
      </c>
      <c r="C28" s="128" t="s">
        <v>252</v>
      </c>
      <c r="D28" s="128" t="s">
        <v>258</v>
      </c>
      <c r="E28" s="128">
        <v>13581</v>
      </c>
      <c r="F28" s="128" t="s">
        <v>277</v>
      </c>
      <c r="G28" s="168"/>
      <c r="H28" s="168"/>
      <c r="I28" s="168"/>
      <c r="J28" s="168"/>
      <c r="K28" s="168"/>
      <c r="L28" s="134"/>
    </row>
    <row r="29" spans="1:15" x14ac:dyDescent="0.3">
      <c r="A29" s="128" t="s">
        <v>251</v>
      </c>
      <c r="B29" s="128" t="s">
        <v>266</v>
      </c>
      <c r="C29" s="128" t="s">
        <v>252</v>
      </c>
      <c r="D29" s="128" t="s">
        <v>278</v>
      </c>
      <c r="E29" s="128">
        <v>13565</v>
      </c>
      <c r="F29" s="128" t="s">
        <v>279</v>
      </c>
      <c r="G29" s="168"/>
      <c r="H29" s="168"/>
      <c r="I29" s="168"/>
      <c r="J29" s="168"/>
      <c r="K29" s="168"/>
      <c r="L29" s="132"/>
    </row>
    <row r="30" spans="1:15" x14ac:dyDescent="0.3">
      <c r="A30" s="128" t="s">
        <v>251</v>
      </c>
      <c r="B30" s="128" t="s">
        <v>266</v>
      </c>
      <c r="C30" s="128" t="s">
        <v>252</v>
      </c>
      <c r="D30" s="128" t="s">
        <v>280</v>
      </c>
      <c r="E30" s="128">
        <v>13560</v>
      </c>
      <c r="F30" s="128">
        <v>387</v>
      </c>
      <c r="G30" s="168"/>
      <c r="H30" s="168"/>
      <c r="I30" s="168"/>
      <c r="J30" s="168"/>
      <c r="K30" s="168"/>
      <c r="L30" s="132">
        <f>SUM(Distances!P16:P19,404,232)</f>
        <v>5036</v>
      </c>
      <c r="M30" s="126">
        <v>35</v>
      </c>
      <c r="N30" s="137">
        <f>(L30*B$44)/(M30*B$43)</f>
        <v>1.6350649350649351</v>
      </c>
    </row>
    <row r="31" spans="1:15" x14ac:dyDescent="0.3">
      <c r="A31" s="128" t="s">
        <v>221</v>
      </c>
      <c r="B31" s="128" t="s">
        <v>266</v>
      </c>
      <c r="C31" s="128" t="s">
        <v>243</v>
      </c>
      <c r="D31" s="128" t="s">
        <v>281</v>
      </c>
      <c r="E31" s="128">
        <v>21706</v>
      </c>
      <c r="F31" s="128">
        <v>232</v>
      </c>
      <c r="G31" s="168"/>
      <c r="H31" s="168"/>
      <c r="I31" s="168"/>
      <c r="J31" s="168"/>
      <c r="K31" s="168"/>
      <c r="L31" s="132"/>
    </row>
    <row r="32" spans="1:15" x14ac:dyDescent="0.3">
      <c r="A32" s="128" t="s">
        <v>221</v>
      </c>
      <c r="B32" s="128" t="s">
        <v>266</v>
      </c>
      <c r="C32" s="128" t="s">
        <v>243</v>
      </c>
      <c r="D32" s="128" t="s">
        <v>282</v>
      </c>
      <c r="E32" s="128">
        <v>13754</v>
      </c>
      <c r="F32" s="128" t="s">
        <v>283</v>
      </c>
      <c r="G32" s="168"/>
      <c r="H32" s="168"/>
      <c r="I32" s="168"/>
      <c r="J32" s="168"/>
      <c r="K32" s="168"/>
      <c r="L32" s="134"/>
    </row>
    <row r="33" spans="1:14" x14ac:dyDescent="0.3">
      <c r="A33" s="128" t="s">
        <v>221</v>
      </c>
      <c r="B33" s="128" t="s">
        <v>266</v>
      </c>
      <c r="C33" s="128" t="s">
        <v>243</v>
      </c>
      <c r="D33" s="128" t="s">
        <v>245</v>
      </c>
      <c r="E33" s="128">
        <v>13707</v>
      </c>
      <c r="F33" s="128" t="s">
        <v>225</v>
      </c>
      <c r="G33" s="168"/>
      <c r="H33" s="168"/>
      <c r="I33" s="168"/>
      <c r="J33" s="168"/>
      <c r="K33" s="168"/>
      <c r="L33" s="134">
        <f>SUM(Distances!P11:P15,-232,-380,236)</f>
        <v>5364</v>
      </c>
      <c r="M33" s="126">
        <v>30</v>
      </c>
      <c r="N33" s="137">
        <f>(L33*B$44)/(M33*B$43)</f>
        <v>2.0318181818181817</v>
      </c>
    </row>
    <row r="34" spans="1:14" x14ac:dyDescent="0.3">
      <c r="A34" s="128" t="s">
        <v>221</v>
      </c>
      <c r="B34" s="128" t="s">
        <v>266</v>
      </c>
      <c r="C34" s="128" t="s">
        <v>223</v>
      </c>
      <c r="D34" s="128" t="s">
        <v>284</v>
      </c>
      <c r="E34" s="128">
        <v>13726</v>
      </c>
      <c r="F34" s="128" t="s">
        <v>285</v>
      </c>
      <c r="G34" s="168"/>
      <c r="H34" s="168"/>
      <c r="I34" s="168"/>
      <c r="J34" s="168"/>
      <c r="K34" s="168"/>
      <c r="L34" s="134"/>
    </row>
    <row r="35" spans="1:14" x14ac:dyDescent="0.3">
      <c r="A35" s="128" t="s">
        <v>237</v>
      </c>
      <c r="B35" s="128" t="s">
        <v>238</v>
      </c>
      <c r="C35" s="128" t="s">
        <v>223</v>
      </c>
      <c r="D35" s="128" t="s">
        <v>228</v>
      </c>
      <c r="E35" s="128">
        <v>768</v>
      </c>
      <c r="F35" s="128" t="s">
        <v>286</v>
      </c>
      <c r="G35" s="168"/>
      <c r="H35" s="168"/>
      <c r="I35" s="168"/>
      <c r="J35" s="168"/>
      <c r="K35" s="168"/>
      <c r="L35" s="132"/>
    </row>
    <row r="36" spans="1:14" x14ac:dyDescent="0.3">
      <c r="A36" s="128" t="s">
        <v>287</v>
      </c>
      <c r="B36" s="128" t="s">
        <v>266</v>
      </c>
      <c r="C36" s="128" t="s">
        <v>223</v>
      </c>
      <c r="D36" s="128" t="s">
        <v>288</v>
      </c>
      <c r="E36" s="128">
        <v>15130</v>
      </c>
      <c r="F36" s="128" t="s">
        <v>289</v>
      </c>
      <c r="G36" s="168"/>
      <c r="H36" s="168"/>
      <c r="I36" s="168"/>
      <c r="J36" s="168"/>
      <c r="K36" s="168"/>
      <c r="L36" s="132">
        <f>SUM(Distances!P4:P10,380,-236)</f>
        <v>3184</v>
      </c>
      <c r="M36" s="126">
        <v>20</v>
      </c>
      <c r="N36" s="137">
        <f>(L36*B$44)/(M36*B$43)</f>
        <v>1.8090909090909091</v>
      </c>
    </row>
    <row r="37" spans="1:14" x14ac:dyDescent="0.3">
      <c r="A37" s="128" t="s">
        <v>287</v>
      </c>
      <c r="B37" s="128" t="s">
        <v>266</v>
      </c>
      <c r="C37" s="128" t="s">
        <v>223</v>
      </c>
      <c r="D37" s="128" t="s">
        <v>290</v>
      </c>
      <c r="E37" s="128">
        <v>29987</v>
      </c>
      <c r="F37" s="128" t="s">
        <v>291</v>
      </c>
      <c r="G37" s="168"/>
      <c r="H37" s="168"/>
      <c r="I37" s="168"/>
      <c r="J37" s="168"/>
      <c r="K37" s="168"/>
      <c r="L37" s="132"/>
    </row>
    <row r="38" spans="1:14" x14ac:dyDescent="0.3">
      <c r="A38" s="128" t="s">
        <v>287</v>
      </c>
      <c r="B38" s="128" t="s">
        <v>266</v>
      </c>
      <c r="C38" s="128" t="s">
        <v>223</v>
      </c>
      <c r="D38" s="128" t="s">
        <v>292</v>
      </c>
      <c r="E38" s="128">
        <v>15149</v>
      </c>
      <c r="F38" s="128" t="s">
        <v>293</v>
      </c>
      <c r="G38" s="168"/>
      <c r="H38" s="168"/>
      <c r="I38" s="168"/>
      <c r="J38" s="168"/>
      <c r="K38" s="168"/>
      <c r="L38" s="132"/>
    </row>
    <row r="39" spans="1:14" x14ac:dyDescent="0.3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6">
        <f>SUM(L23:L38)</f>
        <v>21840</v>
      </c>
      <c r="M39" s="136">
        <f>SUM(L25*M25,L30*M30,L33*M33,L36*M36)/L39</f>
        <v>33.475274725274723</v>
      </c>
      <c r="N39" s="137">
        <f>SUM(N23:N38)</f>
        <v>7.8214285714285712</v>
      </c>
    </row>
    <row r="40" spans="1:14" x14ac:dyDescent="0.3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4" x14ac:dyDescent="0.3">
      <c r="A41" s="128"/>
      <c r="B41" s="128"/>
      <c r="C41" s="128"/>
      <c r="D41" s="128"/>
      <c r="E41" s="128"/>
      <c r="F41" s="128"/>
      <c r="G41" s="128"/>
      <c r="H41" s="142" t="s">
        <v>296</v>
      </c>
      <c r="I41" s="128"/>
      <c r="J41" s="128"/>
      <c r="K41" s="128"/>
      <c r="L41" s="135"/>
      <c r="M41" s="143">
        <f>AVERAGE(M21,M39)</f>
        <v>33.329784798534796</v>
      </c>
      <c r="N41" s="148">
        <f>AVERAGE(N21,N39)</f>
        <v>7.869277597402597</v>
      </c>
    </row>
    <row r="42" spans="1:14" x14ac:dyDescent="0.3">
      <c r="A42" s="67" t="s">
        <v>116</v>
      </c>
      <c r="B42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4" x14ac:dyDescent="0.3">
      <c r="A43" t="s">
        <v>117</v>
      </c>
      <c r="B43">
        <v>5280</v>
      </c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4" x14ac:dyDescent="0.3">
      <c r="A44" t="s">
        <v>118</v>
      </c>
      <c r="B44">
        <v>60</v>
      </c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4" x14ac:dyDescent="0.3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4" x14ac:dyDescent="0.3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4" x14ac:dyDescent="0.3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4" x14ac:dyDescent="0.3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x14ac:dyDescent="0.3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x14ac:dyDescent="0.3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11" x14ac:dyDescent="0.3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 x14ac:dyDescent="0.3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</row>
    <row r="53" spans="1:11" x14ac:dyDescent="0.3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11" x14ac:dyDescent="0.3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11" x14ac:dyDescent="0.3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1" x14ac:dyDescent="0.3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x14ac:dyDescent="0.3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x14ac:dyDescent="0.3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x14ac:dyDescent="0.3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 x14ac:dyDescent="0.3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</row>
    <row r="61" spans="1:11" x14ac:dyDescent="0.3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11" x14ac:dyDescent="0.3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</sheetData>
  <mergeCells count="37">
    <mergeCell ref="G6:K6"/>
    <mergeCell ref="A1:K1"/>
    <mergeCell ref="G2:K2"/>
    <mergeCell ref="G3:K3"/>
    <mergeCell ref="G4:K4"/>
    <mergeCell ref="G5:K5"/>
    <mergeCell ref="G19:K19"/>
    <mergeCell ref="G7:K7"/>
    <mergeCell ref="G8:K8"/>
    <mergeCell ref="G9:K9"/>
    <mergeCell ref="G10:K10"/>
    <mergeCell ref="G11:K11"/>
    <mergeCell ref="G12:K12"/>
    <mergeCell ref="G13:K13"/>
    <mergeCell ref="G15:K15"/>
    <mergeCell ref="G16:K16"/>
    <mergeCell ref="G17:K17"/>
    <mergeCell ref="G18:K18"/>
    <mergeCell ref="G31:K31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8:K38"/>
    <mergeCell ref="G32:K32"/>
    <mergeCell ref="G33:K33"/>
    <mergeCell ref="G34:K34"/>
    <mergeCell ref="G35:K35"/>
    <mergeCell ref="G36:K36"/>
    <mergeCell ref="G37:K37"/>
  </mergeCells>
  <pageMargins left="0.7" right="0.7" top="0.75" bottom="0.75" header="0.3" footer="0.3"/>
  <pageSetup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>
      <selection activeCell="J29" sqref="J29"/>
    </sheetView>
  </sheetViews>
  <sheetFormatPr defaultRowHeight="13.2" x14ac:dyDescent="0.25"/>
  <cols>
    <col min="2" max="2" width="11.5546875" customWidth="1"/>
    <col min="3" max="3" width="12.109375" customWidth="1"/>
    <col min="4" max="4" width="13.109375" customWidth="1"/>
    <col min="5" max="5" width="11.109375" customWidth="1"/>
    <col min="6" max="6" width="14.6640625" customWidth="1"/>
    <col min="7" max="7" width="10.44140625" customWidth="1"/>
    <col min="8" max="8" width="21" customWidth="1"/>
    <col min="9" max="9" width="12" bestFit="1" customWidth="1"/>
    <col min="10" max="10" width="9.6640625" customWidth="1"/>
  </cols>
  <sheetData>
    <row r="2" spans="2:12" ht="15.6" x14ac:dyDescent="0.3">
      <c r="D2" s="51" t="s">
        <v>95</v>
      </c>
    </row>
    <row r="3" spans="2:12" ht="13.8" thickBot="1" x14ac:dyDescent="0.3"/>
    <row r="4" spans="2:12" ht="53.4" thickBot="1" x14ac:dyDescent="0.3">
      <c r="B4" s="52" t="s">
        <v>96</v>
      </c>
      <c r="C4" s="53" t="s">
        <v>97</v>
      </c>
      <c r="D4" s="53" t="s">
        <v>98</v>
      </c>
      <c r="E4" s="53" t="s">
        <v>99</v>
      </c>
      <c r="F4" s="53" t="s">
        <v>100</v>
      </c>
      <c r="G4" s="53" t="s">
        <v>101</v>
      </c>
      <c r="H4" s="54" t="s">
        <v>102</v>
      </c>
      <c r="I4" s="21" t="s">
        <v>124</v>
      </c>
      <c r="J4" s="21" t="s">
        <v>121</v>
      </c>
      <c r="K4" s="55"/>
      <c r="L4" s="55"/>
    </row>
    <row r="5" spans="2:12" x14ac:dyDescent="0.25">
      <c r="B5" s="56" t="s">
        <v>103</v>
      </c>
      <c r="C5" s="57" t="s">
        <v>104</v>
      </c>
      <c r="D5" s="57">
        <v>25</v>
      </c>
      <c r="E5" s="57" t="s">
        <v>105</v>
      </c>
      <c r="F5" s="88">
        <v>259</v>
      </c>
      <c r="G5" s="57">
        <v>4749</v>
      </c>
      <c r="H5" s="58" t="s">
        <v>106</v>
      </c>
      <c r="J5" s="22">
        <f>(F5*C$33)/(D5*C$32)</f>
        <v>0.11772727272727272</v>
      </c>
    </row>
    <row r="6" spans="2:12" x14ac:dyDescent="0.25">
      <c r="B6" s="59" t="s">
        <v>103</v>
      </c>
      <c r="C6" s="60">
        <v>4749</v>
      </c>
      <c r="D6" s="60">
        <v>30</v>
      </c>
      <c r="E6" s="60" t="s">
        <v>107</v>
      </c>
      <c r="F6" s="89">
        <v>5663</v>
      </c>
      <c r="G6" s="60">
        <v>4875</v>
      </c>
      <c r="H6" s="61" t="s">
        <v>108</v>
      </c>
      <c r="J6" s="22">
        <f>(F6*C$33)/(D6*C$32)</f>
        <v>2.1450757575757575</v>
      </c>
    </row>
    <row r="7" spans="2:12" x14ac:dyDescent="0.25">
      <c r="B7" s="59" t="s">
        <v>103</v>
      </c>
      <c r="C7" s="60">
        <v>4875</v>
      </c>
      <c r="D7" s="60">
        <v>35</v>
      </c>
      <c r="E7" s="60" t="s">
        <v>109</v>
      </c>
      <c r="F7" s="89">
        <v>3920</v>
      </c>
      <c r="G7" s="60">
        <v>5045</v>
      </c>
      <c r="H7" s="61" t="s">
        <v>110</v>
      </c>
      <c r="J7" s="22">
        <f>(F7*C$33)/(D7*C$32)</f>
        <v>1.2727272727272727</v>
      </c>
    </row>
    <row r="8" spans="2:12" x14ac:dyDescent="0.25">
      <c r="B8" s="59" t="s">
        <v>103</v>
      </c>
      <c r="C8" s="60">
        <v>5045</v>
      </c>
      <c r="D8" s="60">
        <v>45</v>
      </c>
      <c r="E8" s="60" t="s">
        <v>111</v>
      </c>
      <c r="F8" s="89">
        <v>11678</v>
      </c>
      <c r="G8" s="60"/>
      <c r="H8" s="61"/>
      <c r="J8" s="22"/>
    </row>
    <row r="9" spans="2:12" x14ac:dyDescent="0.25">
      <c r="B9" s="59"/>
      <c r="C9" s="60"/>
      <c r="D9" s="68">
        <v>45</v>
      </c>
      <c r="E9" s="68" t="s">
        <v>49</v>
      </c>
      <c r="F9" s="69">
        <f>SUM(Distances!D5:D9,-527)</f>
        <v>6573</v>
      </c>
      <c r="G9" s="60"/>
      <c r="H9" s="61"/>
      <c r="J9" s="22">
        <f>(F9*C$33)/(D9*C$32)</f>
        <v>1.6598484848484849</v>
      </c>
    </row>
    <row r="10" spans="2:12" x14ac:dyDescent="0.25">
      <c r="B10" s="59"/>
      <c r="C10" s="60"/>
      <c r="D10" s="60"/>
      <c r="E10" s="60"/>
      <c r="F10" s="89"/>
      <c r="G10" s="60"/>
      <c r="H10" s="61"/>
    </row>
    <row r="11" spans="2:12" ht="13.8" thickBot="1" x14ac:dyDescent="0.3">
      <c r="B11" s="62"/>
      <c r="C11" s="63"/>
      <c r="D11" s="63"/>
      <c r="E11" s="63"/>
      <c r="F11" s="90"/>
      <c r="G11" s="63"/>
      <c r="H11" s="64"/>
    </row>
    <row r="12" spans="2:12" ht="13.8" thickTop="1" x14ac:dyDescent="0.25">
      <c r="B12" s="66" t="s">
        <v>120</v>
      </c>
      <c r="F12" s="70">
        <f>SUM(F5:F7,F9)</f>
        <v>16415</v>
      </c>
      <c r="I12" s="87">
        <f>F12/J12*C$33/C$32</f>
        <v>35.90384811677044</v>
      </c>
      <c r="J12" s="71">
        <f>SUM(J5:J9)</f>
        <v>5.1953787878787878</v>
      </c>
    </row>
    <row r="13" spans="2:12" x14ac:dyDescent="0.25">
      <c r="B13" s="66" t="s">
        <v>119</v>
      </c>
      <c r="F13" s="70">
        <f>SUM(F5:F8)</f>
        <v>21520</v>
      </c>
    </row>
    <row r="14" spans="2:12" x14ac:dyDescent="0.25">
      <c r="F14" s="36"/>
    </row>
    <row r="15" spans="2:12" ht="13.8" thickBot="1" x14ac:dyDescent="0.3">
      <c r="F15" s="36"/>
    </row>
    <row r="16" spans="2:12" ht="13.8" thickBot="1" x14ac:dyDescent="0.3">
      <c r="B16" s="52" t="s">
        <v>96</v>
      </c>
      <c r="C16" s="53" t="s">
        <v>97</v>
      </c>
      <c r="D16" s="53" t="s">
        <v>98</v>
      </c>
      <c r="E16" s="53" t="s">
        <v>99</v>
      </c>
      <c r="F16" s="91" t="s">
        <v>100</v>
      </c>
      <c r="G16" s="53" t="s">
        <v>101</v>
      </c>
      <c r="H16" s="54" t="s">
        <v>102</v>
      </c>
    </row>
    <row r="17" spans="2:10" x14ac:dyDescent="0.25">
      <c r="B17" s="56" t="s">
        <v>112</v>
      </c>
      <c r="C17" s="57" t="s">
        <v>111</v>
      </c>
      <c r="D17" s="57">
        <v>45</v>
      </c>
      <c r="E17" s="57" t="s">
        <v>107</v>
      </c>
      <c r="F17" s="88">
        <v>11513</v>
      </c>
      <c r="G17" s="57">
        <v>20775</v>
      </c>
      <c r="H17" s="58" t="s">
        <v>113</v>
      </c>
    </row>
    <row r="18" spans="2:10" x14ac:dyDescent="0.25">
      <c r="B18" s="59"/>
      <c r="C18" s="60"/>
      <c r="D18" s="68">
        <v>45</v>
      </c>
      <c r="E18" s="68" t="s">
        <v>49</v>
      </c>
      <c r="F18" s="69">
        <f>SUM(Distances!D5:D8,335)</f>
        <v>6435</v>
      </c>
      <c r="G18" s="60"/>
      <c r="H18" s="61"/>
      <c r="J18" s="22">
        <f>(F18*C$33)/(D18*C$32)</f>
        <v>1.625</v>
      </c>
    </row>
    <row r="19" spans="2:10" x14ac:dyDescent="0.25">
      <c r="B19" s="59" t="s">
        <v>112</v>
      </c>
      <c r="C19" s="60">
        <v>20775</v>
      </c>
      <c r="D19" s="60">
        <v>35</v>
      </c>
      <c r="E19" s="60" t="s">
        <v>105</v>
      </c>
      <c r="F19" s="89">
        <v>4557</v>
      </c>
      <c r="G19" s="60">
        <v>5022</v>
      </c>
      <c r="H19" s="61" t="s">
        <v>114</v>
      </c>
      <c r="J19" s="22">
        <f>(F19*C$33)/(D19*C$32)</f>
        <v>1.4795454545454545</v>
      </c>
    </row>
    <row r="20" spans="2:10" x14ac:dyDescent="0.25">
      <c r="B20" s="59" t="s">
        <v>112</v>
      </c>
      <c r="C20" s="60">
        <v>5022</v>
      </c>
      <c r="D20" s="60">
        <v>30</v>
      </c>
      <c r="E20" s="60" t="s">
        <v>104</v>
      </c>
      <c r="F20" s="89">
        <v>5512</v>
      </c>
      <c r="G20" s="60"/>
      <c r="H20" s="61"/>
      <c r="J20" s="22">
        <f>(F20*C$33)/(D20*C$32)</f>
        <v>2.0878787878787879</v>
      </c>
    </row>
    <row r="21" spans="2:10" x14ac:dyDescent="0.25">
      <c r="B21" s="59"/>
      <c r="C21" s="60"/>
      <c r="D21" s="60"/>
      <c r="E21" s="60"/>
      <c r="F21" s="89"/>
      <c r="G21" s="60"/>
      <c r="H21" s="61"/>
    </row>
    <row r="22" spans="2:10" x14ac:dyDescent="0.25">
      <c r="B22" s="59"/>
      <c r="C22" s="60"/>
      <c r="D22" s="60"/>
      <c r="E22" s="60"/>
      <c r="F22" s="89"/>
      <c r="G22" s="60"/>
      <c r="H22" s="61"/>
    </row>
    <row r="23" spans="2:10" x14ac:dyDescent="0.25">
      <c r="B23" s="59"/>
      <c r="C23" s="60"/>
      <c r="D23" s="60"/>
      <c r="E23" s="60"/>
      <c r="F23" s="89"/>
      <c r="G23" s="60"/>
      <c r="H23" s="61"/>
    </row>
    <row r="24" spans="2:10" ht="13.8" thickBot="1" x14ac:dyDescent="0.3">
      <c r="B24" s="62"/>
      <c r="C24" s="63"/>
      <c r="D24" s="63"/>
      <c r="E24" s="63"/>
      <c r="F24" s="90"/>
      <c r="G24" s="63"/>
      <c r="H24" s="64"/>
    </row>
    <row r="25" spans="2:10" ht="13.8" thickTop="1" x14ac:dyDescent="0.25">
      <c r="B25" s="66" t="s">
        <v>120</v>
      </c>
      <c r="C25" s="60"/>
      <c r="D25" s="60"/>
      <c r="E25" s="60"/>
      <c r="F25" s="72">
        <f>SUM(F18:F20)</f>
        <v>16504</v>
      </c>
      <c r="G25" s="60"/>
      <c r="H25" s="60"/>
      <c r="I25" s="87">
        <f>F25/J25*C$33/C$32</f>
        <v>36.11905456667639</v>
      </c>
      <c r="J25" s="71">
        <f>SUM(J18:J24)</f>
        <v>5.1924242424242424</v>
      </c>
    </row>
    <row r="26" spans="2:10" x14ac:dyDescent="0.25">
      <c r="B26" s="66" t="s">
        <v>119</v>
      </c>
      <c r="F26" s="70">
        <f>SUM(F17,F19:F20)</f>
        <v>21582</v>
      </c>
    </row>
    <row r="27" spans="2:10" x14ac:dyDescent="0.25">
      <c r="B27" s="66"/>
      <c r="F27" s="70"/>
    </row>
    <row r="28" spans="2:10" x14ac:dyDescent="0.25">
      <c r="B28" s="66" t="s">
        <v>122</v>
      </c>
      <c r="F28" s="70">
        <f>SUM(F12,F25)</f>
        <v>32919</v>
      </c>
      <c r="I28" s="87">
        <f>F28/J28*C$33/C$32</f>
        <v>36.011420736732326</v>
      </c>
      <c r="J28" s="71">
        <f>SUM(J12,J25)</f>
        <v>10.387803030303029</v>
      </c>
    </row>
    <row r="29" spans="2:10" x14ac:dyDescent="0.25">
      <c r="B29" s="66" t="s">
        <v>123</v>
      </c>
      <c r="J29" s="71">
        <f>SUM(J5:J11,J17:J24)/2</f>
        <v>5.1939015151515155</v>
      </c>
    </row>
    <row r="30" spans="2:10" x14ac:dyDescent="0.25">
      <c r="B30" s="66"/>
    </row>
    <row r="31" spans="2:10" x14ac:dyDescent="0.25">
      <c r="B31" s="67" t="s">
        <v>116</v>
      </c>
    </row>
    <row r="32" spans="2:10" x14ac:dyDescent="0.25">
      <c r="B32" t="s">
        <v>117</v>
      </c>
      <c r="C32">
        <v>5280</v>
      </c>
    </row>
    <row r="33" spans="2:3" x14ac:dyDescent="0.25">
      <c r="B33" t="s">
        <v>118</v>
      </c>
      <c r="C33">
        <v>60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topLeftCell="A8" workbookViewId="0">
      <selection activeCell="I29" sqref="I29"/>
    </sheetView>
  </sheetViews>
  <sheetFormatPr defaultRowHeight="13.2" x14ac:dyDescent="0.25"/>
  <cols>
    <col min="2" max="2" width="11.5546875" customWidth="1"/>
    <col min="3" max="3" width="12.109375" customWidth="1"/>
    <col min="4" max="4" width="13.109375" customWidth="1"/>
    <col min="6" max="6" width="14.6640625" customWidth="1"/>
    <col min="7" max="7" width="10.44140625" customWidth="1"/>
    <col min="8" max="8" width="21" customWidth="1"/>
    <col min="9" max="9" width="14.88671875" customWidth="1"/>
  </cols>
  <sheetData>
    <row r="2" spans="2:13" ht="15.6" x14ac:dyDescent="0.3">
      <c r="D2" s="51" t="s">
        <v>153</v>
      </c>
    </row>
    <row r="3" spans="2:13" ht="13.8" thickBot="1" x14ac:dyDescent="0.3"/>
    <row r="4" spans="2:13" ht="40.200000000000003" thickBot="1" x14ac:dyDescent="0.3">
      <c r="B4" s="52" t="s">
        <v>96</v>
      </c>
      <c r="C4" s="53" t="s">
        <v>97</v>
      </c>
      <c r="D4" s="53" t="s">
        <v>98</v>
      </c>
      <c r="E4" s="53" t="s">
        <v>99</v>
      </c>
      <c r="F4" s="53" t="s">
        <v>100</v>
      </c>
      <c r="G4" s="53" t="s">
        <v>101</v>
      </c>
      <c r="H4" s="54" t="s">
        <v>102</v>
      </c>
      <c r="I4" s="94" t="s">
        <v>121</v>
      </c>
      <c r="J4" s="55"/>
      <c r="K4" s="55"/>
      <c r="L4" s="55"/>
      <c r="M4" s="55"/>
    </row>
    <row r="5" spans="2:13" x14ac:dyDescent="0.25">
      <c r="B5" s="56" t="s">
        <v>103</v>
      </c>
      <c r="C5" s="57" t="s">
        <v>104</v>
      </c>
      <c r="D5" s="57">
        <v>25</v>
      </c>
      <c r="E5" s="57" t="s">
        <v>107</v>
      </c>
      <c r="F5" s="76">
        <v>6733</v>
      </c>
      <c r="G5" s="57">
        <v>16072</v>
      </c>
      <c r="H5" s="58" t="s">
        <v>154</v>
      </c>
      <c r="I5" s="22">
        <f>(F5*C$38)/(D5*C$37)</f>
        <v>3.0604545454545455</v>
      </c>
    </row>
    <row r="6" spans="2:13" x14ac:dyDescent="0.25">
      <c r="B6" s="59" t="s">
        <v>103</v>
      </c>
      <c r="C6" s="60">
        <v>16072</v>
      </c>
      <c r="D6" s="60">
        <v>35</v>
      </c>
      <c r="E6" s="60" t="s">
        <v>135</v>
      </c>
      <c r="F6" s="48">
        <v>6109</v>
      </c>
      <c r="G6" s="60">
        <v>16063</v>
      </c>
      <c r="H6" s="61" t="s">
        <v>155</v>
      </c>
      <c r="I6" s="22">
        <f>(F6*C$38)/(D6*C$37)</f>
        <v>1.9834415584415583</v>
      </c>
    </row>
    <row r="7" spans="2:13" x14ac:dyDescent="0.25">
      <c r="B7" s="59" t="s">
        <v>103</v>
      </c>
      <c r="C7" s="60">
        <v>16063</v>
      </c>
      <c r="D7" s="60">
        <v>40</v>
      </c>
      <c r="E7" s="60" t="s">
        <v>156</v>
      </c>
      <c r="F7" s="48">
        <v>4317</v>
      </c>
      <c r="G7" s="60"/>
      <c r="H7" s="61"/>
      <c r="I7" s="22">
        <f>(F7*C$38)/(D7*C$37)</f>
        <v>1.2264204545454545</v>
      </c>
    </row>
    <row r="8" spans="2:13" x14ac:dyDescent="0.25">
      <c r="B8" s="59"/>
      <c r="C8" s="60"/>
      <c r="D8" s="60"/>
      <c r="E8" s="60"/>
      <c r="F8" s="48"/>
      <c r="G8" s="60"/>
      <c r="H8" s="61"/>
      <c r="I8" s="22"/>
    </row>
    <row r="9" spans="2:13" x14ac:dyDescent="0.25">
      <c r="B9" s="59"/>
      <c r="C9" s="60"/>
      <c r="D9" s="60"/>
      <c r="E9" s="60"/>
      <c r="F9" s="48"/>
      <c r="G9" s="60"/>
      <c r="H9" s="61"/>
      <c r="I9" s="22"/>
    </row>
    <row r="10" spans="2:13" x14ac:dyDescent="0.25">
      <c r="B10" s="59"/>
      <c r="C10" s="60"/>
      <c r="D10" s="60"/>
      <c r="E10" s="60"/>
      <c r="F10" s="48"/>
      <c r="G10" s="60"/>
      <c r="H10" s="61"/>
      <c r="I10" s="22"/>
    </row>
    <row r="11" spans="2:13" ht="13.8" thickBot="1" x14ac:dyDescent="0.3">
      <c r="B11" s="62"/>
      <c r="C11" s="63"/>
      <c r="D11" s="63"/>
      <c r="E11" s="63"/>
      <c r="F11" s="77"/>
      <c r="G11" s="63"/>
      <c r="H11" s="64"/>
      <c r="I11" s="22"/>
    </row>
    <row r="12" spans="2:13" ht="13.8" thickTop="1" x14ac:dyDescent="0.25">
      <c r="B12" s="66" t="s">
        <v>181</v>
      </c>
      <c r="F12" s="70">
        <f>SUM(F5:F9)</f>
        <v>17159</v>
      </c>
      <c r="I12" s="71">
        <f>SUM(I5:I11)</f>
        <v>6.270316558441559</v>
      </c>
    </row>
    <row r="13" spans="2:13" x14ac:dyDescent="0.25">
      <c r="B13" s="66" t="s">
        <v>182</v>
      </c>
      <c r="F13" s="70"/>
      <c r="I13" s="87">
        <f>(F12*C$38)/(I12*C$37)</f>
        <v>31.097096063057357</v>
      </c>
    </row>
    <row r="14" spans="2:13" x14ac:dyDescent="0.25">
      <c r="I14" s="71"/>
    </row>
    <row r="15" spans="2:13" ht="13.8" thickBot="1" x14ac:dyDescent="0.3">
      <c r="I15" s="65"/>
    </row>
    <row r="16" spans="2:13" ht="13.8" thickBot="1" x14ac:dyDescent="0.3">
      <c r="B16" s="52" t="s">
        <v>96</v>
      </c>
      <c r="C16" s="53" t="s">
        <v>97</v>
      </c>
      <c r="D16" s="53" t="s">
        <v>98</v>
      </c>
      <c r="E16" s="53" t="s">
        <v>99</v>
      </c>
      <c r="F16" s="53" t="s">
        <v>100</v>
      </c>
      <c r="G16" s="53" t="s">
        <v>101</v>
      </c>
      <c r="H16" s="54" t="s">
        <v>102</v>
      </c>
      <c r="I16" s="95"/>
    </row>
    <row r="17" spans="2:9" x14ac:dyDescent="0.25">
      <c r="B17" s="56" t="s">
        <v>112</v>
      </c>
      <c r="C17" s="57" t="s">
        <v>156</v>
      </c>
      <c r="D17" s="57">
        <v>40</v>
      </c>
      <c r="E17" s="57" t="s">
        <v>107</v>
      </c>
      <c r="F17" s="76">
        <v>4281</v>
      </c>
      <c r="G17" s="57">
        <v>16239</v>
      </c>
      <c r="H17" s="58" t="s">
        <v>157</v>
      </c>
      <c r="I17" s="22">
        <f>(F17*C$38)/(D17*C$37)</f>
        <v>1.2161931818181819</v>
      </c>
    </row>
    <row r="18" spans="2:9" x14ac:dyDescent="0.25">
      <c r="B18" s="59" t="s">
        <v>158</v>
      </c>
      <c r="C18" s="60">
        <v>16239</v>
      </c>
      <c r="D18" s="60">
        <v>35</v>
      </c>
      <c r="E18" s="60" t="s">
        <v>131</v>
      </c>
      <c r="F18" s="48">
        <v>6619</v>
      </c>
      <c r="G18" s="60">
        <v>16162</v>
      </c>
      <c r="H18" s="61" t="s">
        <v>159</v>
      </c>
      <c r="I18" s="22">
        <f>(F18*C$38)/(D18*C$37)</f>
        <v>2.1490259740259741</v>
      </c>
    </row>
    <row r="19" spans="2:9" x14ac:dyDescent="0.25">
      <c r="B19" s="59" t="s">
        <v>112</v>
      </c>
      <c r="C19" s="60">
        <v>16162</v>
      </c>
      <c r="D19" s="60">
        <v>25</v>
      </c>
      <c r="E19" s="60" t="s">
        <v>104</v>
      </c>
      <c r="F19" s="48">
        <v>6275</v>
      </c>
      <c r="G19" s="60"/>
      <c r="H19" s="61"/>
      <c r="I19" s="22">
        <f>(F19*C$38)/(D19*C$37)</f>
        <v>2.8522727272727271</v>
      </c>
    </row>
    <row r="20" spans="2:9" x14ac:dyDescent="0.25">
      <c r="B20" s="59"/>
      <c r="C20" s="60"/>
      <c r="D20" s="60"/>
      <c r="E20" s="60"/>
      <c r="F20" s="48"/>
      <c r="G20" s="60"/>
      <c r="H20" s="61"/>
    </row>
    <row r="21" spans="2:9" x14ac:dyDescent="0.25">
      <c r="B21" s="59"/>
      <c r="C21" s="60"/>
      <c r="D21" s="60"/>
      <c r="E21" s="60"/>
      <c r="F21" s="48"/>
      <c r="G21" s="60"/>
      <c r="H21" s="61"/>
      <c r="I21" s="22"/>
    </row>
    <row r="22" spans="2:9" x14ac:dyDescent="0.25">
      <c r="B22" s="59"/>
      <c r="C22" s="60"/>
      <c r="D22" s="60"/>
      <c r="E22" s="60"/>
      <c r="F22" s="48"/>
      <c r="G22" s="60"/>
      <c r="H22" s="61"/>
      <c r="I22" s="22"/>
    </row>
    <row r="23" spans="2:9" ht="13.8" thickBot="1" x14ac:dyDescent="0.3">
      <c r="B23" s="62"/>
      <c r="C23" s="63"/>
      <c r="D23" s="63"/>
      <c r="E23" s="63"/>
      <c r="F23" s="77"/>
      <c r="G23" s="63"/>
      <c r="H23" s="64"/>
      <c r="I23" s="22"/>
    </row>
    <row r="24" spans="2:9" ht="13.8" thickTop="1" x14ac:dyDescent="0.25">
      <c r="B24" s="66" t="s">
        <v>183</v>
      </c>
      <c r="F24" s="66">
        <f>SUM(F17:F23)</f>
        <v>17175</v>
      </c>
      <c r="I24" s="71">
        <f>SUM(I17:I23)</f>
        <v>6.2174918831168835</v>
      </c>
    </row>
    <row r="25" spans="2:9" x14ac:dyDescent="0.25">
      <c r="B25" s="66" t="s">
        <v>184</v>
      </c>
      <c r="I25" s="87">
        <f>(F24*C$38)/(I24*C$37)</f>
        <v>31.390544324701857</v>
      </c>
    </row>
    <row r="27" spans="2:9" x14ac:dyDescent="0.25">
      <c r="B27" s="66" t="s">
        <v>122</v>
      </c>
      <c r="F27" s="70">
        <f>SUM(F12,F24)</f>
        <v>34334</v>
      </c>
      <c r="I27" s="71">
        <f>SUM(I12,I24)</f>
        <v>12.487808441558442</v>
      </c>
    </row>
    <row r="28" spans="2:9" x14ac:dyDescent="0.25">
      <c r="B28" s="66" t="s">
        <v>123</v>
      </c>
      <c r="F28" s="70"/>
      <c r="I28" s="71">
        <f>I27/2</f>
        <v>6.2439042207792212</v>
      </c>
    </row>
    <row r="29" spans="2:9" x14ac:dyDescent="0.25">
      <c r="B29" s="66" t="s">
        <v>178</v>
      </c>
      <c r="I29" s="87">
        <f>F27*C38/(I27*C37)</f>
        <v>31.243199536170991</v>
      </c>
    </row>
    <row r="31" spans="2:9" x14ac:dyDescent="0.25">
      <c r="I31" s="71"/>
    </row>
    <row r="32" spans="2:9" x14ac:dyDescent="0.25">
      <c r="I32" s="71"/>
    </row>
    <row r="33" spans="2:9" x14ac:dyDescent="0.25">
      <c r="I33" s="87"/>
    </row>
    <row r="36" spans="2:9" x14ac:dyDescent="0.25">
      <c r="B36" s="67" t="s">
        <v>116</v>
      </c>
    </row>
    <row r="37" spans="2:9" x14ac:dyDescent="0.25">
      <c r="B37" t="s">
        <v>117</v>
      </c>
      <c r="C37">
        <v>5280</v>
      </c>
    </row>
    <row r="38" spans="2:9" x14ac:dyDescent="0.25">
      <c r="B38" t="s">
        <v>118</v>
      </c>
      <c r="C38">
        <v>60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workbookViewId="0"/>
  </sheetViews>
  <sheetFormatPr defaultRowHeight="13.2" x14ac:dyDescent="0.25"/>
  <cols>
    <col min="2" max="2" width="11.5546875" customWidth="1"/>
    <col min="3" max="3" width="15.5546875" customWidth="1"/>
    <col min="4" max="4" width="14.6640625" customWidth="1"/>
    <col min="5" max="5" width="13.88671875" customWidth="1"/>
    <col min="6" max="6" width="14.6640625" customWidth="1"/>
    <col min="7" max="7" width="10.44140625" customWidth="1"/>
    <col min="8" max="8" width="21" customWidth="1"/>
  </cols>
  <sheetData>
    <row r="2" spans="2:12" ht="15.6" x14ac:dyDescent="0.3">
      <c r="D2" s="51" t="s">
        <v>126</v>
      </c>
    </row>
    <row r="3" spans="2:12" ht="13.8" thickBot="1" x14ac:dyDescent="0.3"/>
    <row r="4" spans="2:12" ht="66.599999999999994" thickBot="1" x14ac:dyDescent="0.3">
      <c r="B4" s="73" t="s">
        <v>96</v>
      </c>
      <c r="C4" s="74" t="s">
        <v>97</v>
      </c>
      <c r="D4" s="74" t="s">
        <v>98</v>
      </c>
      <c r="E4" s="74" t="s">
        <v>99</v>
      </c>
      <c r="F4" s="74" t="s">
        <v>100</v>
      </c>
      <c r="G4" s="74" t="s">
        <v>101</v>
      </c>
      <c r="H4" s="75" t="s">
        <v>102</v>
      </c>
      <c r="I4" s="21" t="s">
        <v>115</v>
      </c>
      <c r="J4" s="21" t="s">
        <v>121</v>
      </c>
      <c r="K4" s="55"/>
      <c r="L4" s="55"/>
    </row>
    <row r="5" spans="2:12" x14ac:dyDescent="0.25">
      <c r="B5" s="56" t="s">
        <v>127</v>
      </c>
      <c r="C5" s="57" t="s">
        <v>128</v>
      </c>
      <c r="D5" s="57">
        <v>40</v>
      </c>
      <c r="E5" s="57" t="s">
        <v>107</v>
      </c>
      <c r="F5" s="79">
        <v>10491</v>
      </c>
      <c r="G5" s="57">
        <v>6452</v>
      </c>
      <c r="H5" s="58" t="s">
        <v>129</v>
      </c>
      <c r="I5" s="36"/>
      <c r="J5" s="22">
        <f t="shared" ref="J5:J11" si="0">(F5*C$36)/(D5*C$35)</f>
        <v>2.9803977272727273</v>
      </c>
    </row>
    <row r="6" spans="2:12" x14ac:dyDescent="0.25">
      <c r="B6" s="59" t="s">
        <v>127</v>
      </c>
      <c r="C6" s="60">
        <v>6452</v>
      </c>
      <c r="D6" s="60">
        <v>35</v>
      </c>
      <c r="E6" s="60" t="s">
        <v>105</v>
      </c>
      <c r="F6" s="80">
        <v>2944</v>
      </c>
      <c r="G6" s="60">
        <v>6392</v>
      </c>
      <c r="H6" s="61" t="s">
        <v>130</v>
      </c>
      <c r="I6" s="36"/>
      <c r="J6" s="22">
        <f t="shared" si="0"/>
        <v>0.95584415584415583</v>
      </c>
    </row>
    <row r="7" spans="2:12" x14ac:dyDescent="0.25">
      <c r="B7" s="59" t="s">
        <v>127</v>
      </c>
      <c r="C7" s="60">
        <v>6392</v>
      </c>
      <c r="D7" s="60">
        <v>30</v>
      </c>
      <c r="E7" s="60" t="s">
        <v>131</v>
      </c>
      <c r="F7" s="80">
        <v>5475</v>
      </c>
      <c r="G7" s="60">
        <v>6355</v>
      </c>
      <c r="H7" s="61" t="s">
        <v>132</v>
      </c>
      <c r="I7" s="36"/>
      <c r="J7" s="22">
        <f t="shared" si="0"/>
        <v>2.0738636363636362</v>
      </c>
    </row>
    <row r="8" spans="2:12" x14ac:dyDescent="0.25">
      <c r="B8" s="59" t="s">
        <v>127</v>
      </c>
      <c r="C8" s="60">
        <v>6355</v>
      </c>
      <c r="D8" s="60">
        <v>25</v>
      </c>
      <c r="E8" s="60" t="s">
        <v>105</v>
      </c>
      <c r="F8" s="80">
        <v>2757</v>
      </c>
      <c r="G8" s="60">
        <v>6343</v>
      </c>
      <c r="H8" s="61" t="s">
        <v>133</v>
      </c>
      <c r="I8" s="36"/>
      <c r="J8" s="22">
        <f t="shared" si="0"/>
        <v>1.2531818181818182</v>
      </c>
    </row>
    <row r="9" spans="2:12" x14ac:dyDescent="0.25">
      <c r="B9" s="59" t="s">
        <v>127</v>
      </c>
      <c r="C9" s="60">
        <v>6343</v>
      </c>
      <c r="D9" s="60">
        <v>30</v>
      </c>
      <c r="E9" s="60" t="s">
        <v>107</v>
      </c>
      <c r="F9" s="80">
        <v>2408</v>
      </c>
      <c r="G9" s="60">
        <v>6317</v>
      </c>
      <c r="H9" s="61" t="s">
        <v>134</v>
      </c>
      <c r="I9" s="36"/>
      <c r="J9" s="22">
        <f t="shared" si="0"/>
        <v>0.91212121212121211</v>
      </c>
    </row>
    <row r="10" spans="2:12" x14ac:dyDescent="0.25">
      <c r="B10" s="59" t="s">
        <v>127</v>
      </c>
      <c r="C10" s="60">
        <v>6317</v>
      </c>
      <c r="D10" s="60">
        <v>35</v>
      </c>
      <c r="E10" s="60" t="s">
        <v>135</v>
      </c>
      <c r="F10" s="80">
        <v>6843</v>
      </c>
      <c r="G10" s="60">
        <v>6332</v>
      </c>
      <c r="H10" s="61" t="s">
        <v>136</v>
      </c>
      <c r="I10" s="36"/>
      <c r="J10" s="22">
        <f t="shared" si="0"/>
        <v>2.2217532467532468</v>
      </c>
    </row>
    <row r="11" spans="2:12" x14ac:dyDescent="0.25">
      <c r="B11" s="59"/>
      <c r="C11" s="60"/>
      <c r="D11" s="68">
        <v>40</v>
      </c>
      <c r="E11" s="68"/>
      <c r="F11" s="81">
        <f>SUM(F12,-2630)</f>
        <v>2026</v>
      </c>
      <c r="G11" s="60"/>
      <c r="H11" s="61"/>
      <c r="I11" s="36"/>
      <c r="J11" s="22">
        <f t="shared" si="0"/>
        <v>0.57556818181818181</v>
      </c>
    </row>
    <row r="12" spans="2:12" ht="13.8" thickBot="1" x14ac:dyDescent="0.3">
      <c r="B12" s="62" t="s">
        <v>127</v>
      </c>
      <c r="C12" s="63">
        <v>6332</v>
      </c>
      <c r="D12" s="63">
        <v>40</v>
      </c>
      <c r="E12" s="63" t="s">
        <v>137</v>
      </c>
      <c r="F12" s="82">
        <v>4656</v>
      </c>
      <c r="G12" s="63"/>
      <c r="H12" s="64"/>
      <c r="I12" s="36"/>
    </row>
    <row r="13" spans="2:12" ht="13.8" thickTop="1" x14ac:dyDescent="0.25">
      <c r="B13" s="66" t="s">
        <v>149</v>
      </c>
      <c r="F13" s="70">
        <f>SUM(F5:F11)</f>
        <v>32944</v>
      </c>
      <c r="I13" s="87">
        <f>F13/J13*C$36/C$35</f>
        <v>34.117638646181341</v>
      </c>
      <c r="J13" s="71">
        <f>SUM(J5:J12)</f>
        <v>10.972729978354979</v>
      </c>
    </row>
    <row r="14" spans="2:12" x14ac:dyDescent="0.25">
      <c r="B14" s="66" t="s">
        <v>150</v>
      </c>
      <c r="F14" s="70">
        <f>SUM(F5:F10,F12)</f>
        <v>35574</v>
      </c>
    </row>
    <row r="15" spans="2:12" ht="13.8" thickBot="1" x14ac:dyDescent="0.3"/>
    <row r="16" spans="2:12" ht="13.8" thickBot="1" x14ac:dyDescent="0.3">
      <c r="B16" s="73" t="s">
        <v>96</v>
      </c>
      <c r="C16" s="74" t="s">
        <v>97</v>
      </c>
      <c r="D16" s="74" t="s">
        <v>98</v>
      </c>
      <c r="E16" s="74" t="s">
        <v>99</v>
      </c>
      <c r="F16" s="74" t="s">
        <v>100</v>
      </c>
      <c r="G16" s="74" t="s">
        <v>101</v>
      </c>
      <c r="H16" s="75" t="s">
        <v>102</v>
      </c>
    </row>
    <row r="17" spans="2:10" x14ac:dyDescent="0.25">
      <c r="B17" s="56" t="s">
        <v>138</v>
      </c>
      <c r="C17" s="57" t="s">
        <v>137</v>
      </c>
      <c r="D17" s="57">
        <v>40</v>
      </c>
      <c r="E17" s="57" t="s">
        <v>107</v>
      </c>
      <c r="F17" s="76">
        <v>4531</v>
      </c>
      <c r="G17" s="57">
        <v>6659</v>
      </c>
      <c r="H17" s="58" t="s">
        <v>139</v>
      </c>
    </row>
    <row r="18" spans="2:10" x14ac:dyDescent="0.25">
      <c r="B18" s="59"/>
      <c r="C18" s="60"/>
      <c r="D18" s="68">
        <v>40</v>
      </c>
      <c r="E18" s="68"/>
      <c r="F18" s="78">
        <f>SUM(F17,-2630)</f>
        <v>1901</v>
      </c>
      <c r="G18" s="60"/>
      <c r="H18" s="61"/>
      <c r="I18" s="36"/>
      <c r="J18" s="22">
        <f t="shared" ref="J18:J24" si="1">(F18*C$36)/(D18*C$35)</f>
        <v>0.54005681818181817</v>
      </c>
    </row>
    <row r="19" spans="2:10" x14ac:dyDescent="0.25">
      <c r="B19" s="59" t="s">
        <v>138</v>
      </c>
      <c r="C19" s="60">
        <v>6659</v>
      </c>
      <c r="D19" s="60">
        <v>35</v>
      </c>
      <c r="E19" s="60" t="s">
        <v>105</v>
      </c>
      <c r="F19" s="48">
        <v>6992</v>
      </c>
      <c r="G19" s="60">
        <v>6576</v>
      </c>
      <c r="H19" s="61" t="s">
        <v>140</v>
      </c>
      <c r="I19" s="36"/>
      <c r="J19" s="22">
        <f t="shared" si="1"/>
        <v>2.2701298701298702</v>
      </c>
    </row>
    <row r="20" spans="2:10" x14ac:dyDescent="0.25">
      <c r="B20" s="59" t="s">
        <v>138</v>
      </c>
      <c r="C20" s="60">
        <v>6576</v>
      </c>
      <c r="D20" s="60">
        <v>30</v>
      </c>
      <c r="E20" s="60" t="s">
        <v>131</v>
      </c>
      <c r="F20" s="48">
        <v>3166</v>
      </c>
      <c r="G20" s="60">
        <v>6513</v>
      </c>
      <c r="H20" s="61" t="s">
        <v>141</v>
      </c>
      <c r="I20" s="36"/>
      <c r="J20" s="22">
        <f t="shared" si="1"/>
        <v>1.1992424242424242</v>
      </c>
    </row>
    <row r="21" spans="2:10" x14ac:dyDescent="0.25">
      <c r="B21" s="59" t="s">
        <v>138</v>
      </c>
      <c r="C21" s="60">
        <v>6513</v>
      </c>
      <c r="D21" s="60">
        <v>25</v>
      </c>
      <c r="E21" s="60" t="s">
        <v>105</v>
      </c>
      <c r="F21" s="48">
        <v>2000</v>
      </c>
      <c r="G21" s="60">
        <v>28211</v>
      </c>
      <c r="H21" s="61" t="s">
        <v>142</v>
      </c>
      <c r="I21" s="36"/>
      <c r="J21" s="22">
        <f t="shared" si="1"/>
        <v>0.90909090909090906</v>
      </c>
    </row>
    <row r="22" spans="2:10" x14ac:dyDescent="0.25">
      <c r="B22" s="59" t="s">
        <v>138</v>
      </c>
      <c r="C22" s="60">
        <v>28211</v>
      </c>
      <c r="D22" s="60">
        <v>30</v>
      </c>
      <c r="E22" s="60" t="s">
        <v>107</v>
      </c>
      <c r="F22" s="48">
        <v>6328</v>
      </c>
      <c r="G22" s="60">
        <v>6544</v>
      </c>
      <c r="H22" s="61" t="s">
        <v>143</v>
      </c>
      <c r="I22" s="36"/>
      <c r="J22" s="22">
        <f t="shared" si="1"/>
        <v>2.396969696969697</v>
      </c>
    </row>
    <row r="23" spans="2:10" x14ac:dyDescent="0.25">
      <c r="B23" s="59" t="s">
        <v>138</v>
      </c>
      <c r="C23" s="60">
        <v>6544</v>
      </c>
      <c r="D23" s="60">
        <v>35</v>
      </c>
      <c r="E23" s="60" t="s">
        <v>135</v>
      </c>
      <c r="F23" s="48">
        <v>1994</v>
      </c>
      <c r="G23" s="60">
        <v>6601</v>
      </c>
      <c r="H23" s="61" t="s">
        <v>144</v>
      </c>
      <c r="I23" s="36"/>
      <c r="J23" s="22">
        <f t="shared" si="1"/>
        <v>0.64740259740259742</v>
      </c>
    </row>
    <row r="24" spans="2:10" ht="13.8" thickBot="1" x14ac:dyDescent="0.3">
      <c r="B24" s="62" t="s">
        <v>138</v>
      </c>
      <c r="C24" s="63">
        <v>6601</v>
      </c>
      <c r="D24" s="63">
        <v>40</v>
      </c>
      <c r="E24" s="63" t="s">
        <v>128</v>
      </c>
      <c r="F24" s="77">
        <v>10432</v>
      </c>
      <c r="G24" s="63"/>
      <c r="H24" s="64"/>
      <c r="I24" s="36"/>
      <c r="J24" s="22">
        <f t="shared" si="1"/>
        <v>2.9636363636363638</v>
      </c>
    </row>
    <row r="25" spans="2:10" ht="13.8" thickTop="1" x14ac:dyDescent="0.25">
      <c r="B25" s="66" t="s">
        <v>149</v>
      </c>
      <c r="F25" s="70">
        <f>SUM(F18:F24)</f>
        <v>32813</v>
      </c>
      <c r="I25" s="87">
        <f>F25/J25*C$36/C$35</f>
        <v>34.125659752701843</v>
      </c>
      <c r="J25" s="71">
        <f>SUM(J18:J24)</f>
        <v>10.92652867965368</v>
      </c>
    </row>
    <row r="26" spans="2:10" x14ac:dyDescent="0.25">
      <c r="B26" s="66" t="s">
        <v>150</v>
      </c>
      <c r="F26" s="70">
        <f>SUM(F17,F19:F24)</f>
        <v>35443</v>
      </c>
      <c r="I26" s="70"/>
      <c r="J26" s="71"/>
    </row>
    <row r="28" spans="2:10" x14ac:dyDescent="0.25">
      <c r="D28" t="s">
        <v>145</v>
      </c>
      <c r="E28" s="55" t="s">
        <v>146</v>
      </c>
      <c r="I28" s="83"/>
      <c r="J28" s="65"/>
    </row>
    <row r="29" spans="2:10" x14ac:dyDescent="0.25">
      <c r="D29" t="s">
        <v>147</v>
      </c>
      <c r="E29" s="55" t="s">
        <v>148</v>
      </c>
    </row>
    <row r="31" spans="2:10" x14ac:dyDescent="0.25">
      <c r="B31" s="66" t="s">
        <v>151</v>
      </c>
      <c r="F31" s="70">
        <f>SUM(F13,F25)</f>
        <v>65757</v>
      </c>
      <c r="I31" s="87">
        <f>F31/J31*C$36/C$35</f>
        <v>34.121640738298133</v>
      </c>
      <c r="J31" s="71">
        <f>SUM(J13,J25)</f>
        <v>21.899258658008659</v>
      </c>
    </row>
    <row r="32" spans="2:10" x14ac:dyDescent="0.25">
      <c r="B32" s="66" t="s">
        <v>123</v>
      </c>
      <c r="J32" s="71">
        <f>SUM(J5:J12,J17:J24)/2</f>
        <v>10.949629329004329</v>
      </c>
    </row>
    <row r="33" spans="2:3" x14ac:dyDescent="0.25">
      <c r="B33" s="66"/>
    </row>
    <row r="34" spans="2:3" x14ac:dyDescent="0.25">
      <c r="B34" s="67" t="s">
        <v>116</v>
      </c>
    </row>
    <row r="35" spans="2:3" x14ac:dyDescent="0.25">
      <c r="B35" t="s">
        <v>117</v>
      </c>
      <c r="C35">
        <v>5280</v>
      </c>
    </row>
    <row r="36" spans="2:3" x14ac:dyDescent="0.25">
      <c r="B36" t="s">
        <v>118</v>
      </c>
      <c r="C36">
        <v>60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workbookViewId="0">
      <selection activeCell="B30" sqref="B30:I32"/>
    </sheetView>
  </sheetViews>
  <sheetFormatPr defaultRowHeight="13.2" x14ac:dyDescent="0.25"/>
  <cols>
    <col min="2" max="2" width="11.5546875" customWidth="1"/>
    <col min="3" max="3" width="14.5546875" customWidth="1"/>
    <col min="4" max="4" width="13.109375" customWidth="1"/>
    <col min="5" max="5" width="14.88671875" customWidth="1"/>
    <col min="6" max="6" width="14.6640625" customWidth="1"/>
    <col min="7" max="7" width="10.44140625" customWidth="1"/>
    <col min="8" max="8" width="21" customWidth="1"/>
    <col min="9" max="9" width="14.88671875" bestFit="1" customWidth="1"/>
  </cols>
  <sheetData>
    <row r="2" spans="2:12" ht="15.6" x14ac:dyDescent="0.3">
      <c r="D2" s="51" t="s">
        <v>160</v>
      </c>
    </row>
    <row r="3" spans="2:12" ht="13.8" thickBot="1" x14ac:dyDescent="0.3"/>
    <row r="4" spans="2:12" ht="40.200000000000003" thickBot="1" x14ac:dyDescent="0.3">
      <c r="B4" s="52" t="s">
        <v>96</v>
      </c>
      <c r="C4" s="53" t="s">
        <v>97</v>
      </c>
      <c r="D4" s="53" t="s">
        <v>98</v>
      </c>
      <c r="E4" s="53" t="s">
        <v>99</v>
      </c>
      <c r="F4" s="53" t="s">
        <v>100</v>
      </c>
      <c r="G4" s="53" t="s">
        <v>101</v>
      </c>
      <c r="H4" s="54" t="s">
        <v>102</v>
      </c>
      <c r="I4" s="94" t="s">
        <v>121</v>
      </c>
      <c r="J4" s="55"/>
      <c r="K4" s="55"/>
      <c r="L4" s="55"/>
    </row>
    <row r="5" spans="2:12" x14ac:dyDescent="0.25">
      <c r="B5" s="56" t="s">
        <v>127</v>
      </c>
      <c r="C5" s="57" t="s">
        <v>161</v>
      </c>
      <c r="D5" s="57">
        <v>65</v>
      </c>
      <c r="E5" s="57" t="s">
        <v>162</v>
      </c>
      <c r="F5" s="79">
        <v>5993</v>
      </c>
      <c r="G5" s="57" t="s">
        <v>163</v>
      </c>
      <c r="H5" s="58" t="s">
        <v>163</v>
      </c>
      <c r="I5" s="22">
        <f>(F5*C$38)/(D5*C$37)</f>
        <v>1.0477272727272726</v>
      </c>
    </row>
    <row r="6" spans="2:12" x14ac:dyDescent="0.25">
      <c r="B6" s="59" t="s">
        <v>127</v>
      </c>
      <c r="C6" s="60" t="s">
        <v>162</v>
      </c>
      <c r="D6" s="60">
        <v>55</v>
      </c>
      <c r="E6" s="60" t="s">
        <v>135</v>
      </c>
      <c r="F6" s="80">
        <v>2875</v>
      </c>
      <c r="G6" s="60" t="s">
        <v>163</v>
      </c>
      <c r="H6" s="61" t="s">
        <v>163</v>
      </c>
      <c r="I6" s="22">
        <f>(F6*C$38)/(D6*C$37)</f>
        <v>0.59400826446280997</v>
      </c>
    </row>
    <row r="7" spans="2:12" x14ac:dyDescent="0.25">
      <c r="B7" s="59" t="s">
        <v>127</v>
      </c>
      <c r="C7" s="60" t="s">
        <v>135</v>
      </c>
      <c r="D7" s="60">
        <v>40</v>
      </c>
      <c r="E7" s="60" t="s">
        <v>107</v>
      </c>
      <c r="F7" s="80">
        <v>1223</v>
      </c>
      <c r="G7" s="60" t="s">
        <v>163</v>
      </c>
      <c r="H7" s="61" t="s">
        <v>163</v>
      </c>
      <c r="I7" s="22">
        <f>(F7*C$38)/(D7*C$37)</f>
        <v>0.34744318181818185</v>
      </c>
    </row>
    <row r="8" spans="2:12" x14ac:dyDescent="0.25">
      <c r="B8" s="59" t="s">
        <v>127</v>
      </c>
      <c r="C8" s="60" t="s">
        <v>107</v>
      </c>
      <c r="D8" s="60">
        <v>35</v>
      </c>
      <c r="E8" s="60" t="s">
        <v>109</v>
      </c>
      <c r="F8" s="80">
        <v>11800</v>
      </c>
      <c r="G8" s="60">
        <v>2189</v>
      </c>
      <c r="H8" s="61" t="s">
        <v>164</v>
      </c>
      <c r="I8" s="22">
        <f>(F8*C$38)/(D8*C$37)</f>
        <v>3.831168831168831</v>
      </c>
    </row>
    <row r="9" spans="2:12" x14ac:dyDescent="0.25">
      <c r="B9" s="59"/>
      <c r="C9" s="68">
        <v>2189</v>
      </c>
      <c r="D9" s="68">
        <v>45</v>
      </c>
      <c r="E9" s="68" t="s">
        <v>39</v>
      </c>
      <c r="F9" s="81">
        <f>Distances!F5-490</f>
        <v>830</v>
      </c>
      <c r="G9" s="60"/>
      <c r="H9" s="61"/>
      <c r="I9" s="22">
        <f>(F9*C$38)/(D9*C$37)</f>
        <v>0.20959595959595959</v>
      </c>
    </row>
    <row r="10" spans="2:12" x14ac:dyDescent="0.25">
      <c r="B10" s="59" t="s">
        <v>127</v>
      </c>
      <c r="C10" s="60">
        <v>2189</v>
      </c>
      <c r="D10" s="60">
        <v>45</v>
      </c>
      <c r="E10" s="60" t="s">
        <v>165</v>
      </c>
      <c r="F10" s="80">
        <v>4908</v>
      </c>
      <c r="G10" s="60"/>
      <c r="H10" s="61"/>
      <c r="I10" s="22"/>
    </row>
    <row r="11" spans="2:12" x14ac:dyDescent="0.25">
      <c r="B11" s="59"/>
      <c r="C11" s="60"/>
      <c r="D11" s="60"/>
      <c r="E11" s="60"/>
      <c r="F11" s="80"/>
      <c r="G11" s="60"/>
      <c r="H11" s="61"/>
      <c r="I11" s="22"/>
    </row>
    <row r="12" spans="2:12" ht="13.8" thickBot="1" x14ac:dyDescent="0.3">
      <c r="B12" s="62"/>
      <c r="C12" s="63"/>
      <c r="D12" s="63"/>
      <c r="E12" s="63"/>
      <c r="F12" s="82"/>
      <c r="G12" s="63"/>
      <c r="H12" s="64"/>
    </row>
    <row r="13" spans="2:12" ht="13.8" thickTop="1" x14ac:dyDescent="0.25">
      <c r="B13" s="66" t="s">
        <v>171</v>
      </c>
      <c r="F13" s="70">
        <f>SUM(F5:F8,F10)</f>
        <v>26799</v>
      </c>
      <c r="I13" s="71"/>
    </row>
    <row r="14" spans="2:12" x14ac:dyDescent="0.25">
      <c r="B14" s="66" t="s">
        <v>172</v>
      </c>
      <c r="F14" s="70">
        <f>SUM(F5:F9)</f>
        <v>22721</v>
      </c>
      <c r="I14" s="71">
        <f>SUM(I5:I12)</f>
        <v>6.0299435097730543</v>
      </c>
    </row>
    <row r="15" spans="2:12" x14ac:dyDescent="0.25">
      <c r="B15" s="66" t="s">
        <v>173</v>
      </c>
      <c r="F15" s="70"/>
      <c r="I15" s="87">
        <f>(F14*C$38)/(I14*C$37)</f>
        <v>42.818507569716736</v>
      </c>
    </row>
    <row r="16" spans="2:12" ht="13.8" thickBot="1" x14ac:dyDescent="0.3">
      <c r="F16" s="36"/>
    </row>
    <row r="17" spans="2:10" ht="13.8" thickBot="1" x14ac:dyDescent="0.3">
      <c r="B17" s="52" t="s">
        <v>96</v>
      </c>
      <c r="C17" s="53" t="s">
        <v>97</v>
      </c>
      <c r="D17" s="53" t="s">
        <v>98</v>
      </c>
      <c r="E17" s="53" t="s">
        <v>99</v>
      </c>
      <c r="F17" s="91" t="s">
        <v>100</v>
      </c>
      <c r="G17" s="53" t="s">
        <v>101</v>
      </c>
      <c r="H17" s="54" t="s">
        <v>102</v>
      </c>
    </row>
    <row r="18" spans="2:10" x14ac:dyDescent="0.25">
      <c r="B18" s="56"/>
      <c r="C18" s="92" t="s">
        <v>39</v>
      </c>
      <c r="D18" s="92">
        <v>45</v>
      </c>
      <c r="E18" s="92">
        <v>2329</v>
      </c>
      <c r="F18" s="93">
        <v>592</v>
      </c>
      <c r="G18" s="57"/>
      <c r="H18" s="58"/>
      <c r="I18" s="22">
        <f>(F18*C$38)/(D18*C$37)</f>
        <v>0.14949494949494949</v>
      </c>
    </row>
    <row r="19" spans="2:10" x14ac:dyDescent="0.25">
      <c r="B19" s="59" t="s">
        <v>138</v>
      </c>
      <c r="C19" s="60" t="s">
        <v>165</v>
      </c>
      <c r="D19" s="60">
        <v>45</v>
      </c>
      <c r="E19" s="60" t="s">
        <v>107</v>
      </c>
      <c r="F19" s="80">
        <v>4655</v>
      </c>
      <c r="G19" s="60">
        <v>2329</v>
      </c>
      <c r="H19" s="61" t="s">
        <v>166</v>
      </c>
    </row>
    <row r="20" spans="2:10" x14ac:dyDescent="0.25">
      <c r="B20" s="59" t="s">
        <v>138</v>
      </c>
      <c r="C20" s="60">
        <v>2329</v>
      </c>
      <c r="D20" s="60">
        <v>35</v>
      </c>
      <c r="E20" s="60" t="s">
        <v>162</v>
      </c>
      <c r="F20" s="80">
        <v>11845</v>
      </c>
      <c r="G20" s="60">
        <v>2342</v>
      </c>
      <c r="H20" s="61" t="s">
        <v>167</v>
      </c>
      <c r="I20" s="22">
        <f>(F20*C$38)/(D20*C$37)</f>
        <v>3.845779220779221</v>
      </c>
    </row>
    <row r="21" spans="2:10" x14ac:dyDescent="0.25">
      <c r="B21" s="59" t="s">
        <v>138</v>
      </c>
      <c r="C21" s="60">
        <v>2342</v>
      </c>
      <c r="D21" s="60">
        <v>55</v>
      </c>
      <c r="E21" s="60" t="s">
        <v>168</v>
      </c>
      <c r="F21" s="80">
        <v>4386</v>
      </c>
      <c r="G21" s="60" t="s">
        <v>163</v>
      </c>
      <c r="H21" s="61" t="s">
        <v>169</v>
      </c>
      <c r="I21" s="22">
        <f>(F21*C$38)/(D21*C$37)</f>
        <v>0.90619834710743796</v>
      </c>
    </row>
    <row r="22" spans="2:10" x14ac:dyDescent="0.25">
      <c r="B22" s="59" t="s">
        <v>138</v>
      </c>
      <c r="C22" s="60" t="s">
        <v>170</v>
      </c>
      <c r="D22" s="60">
        <v>65</v>
      </c>
      <c r="E22" s="60" t="s">
        <v>161</v>
      </c>
      <c r="F22" s="80">
        <v>5970</v>
      </c>
      <c r="G22" s="60"/>
      <c r="H22" s="61"/>
      <c r="I22" s="22">
        <f>(F22*C$38)/(D22*C$37)</f>
        <v>1.0437062937062938</v>
      </c>
    </row>
    <row r="23" spans="2:10" x14ac:dyDescent="0.25">
      <c r="B23" s="59"/>
      <c r="C23" s="60"/>
      <c r="D23" s="60"/>
      <c r="E23" s="60"/>
      <c r="F23" s="80"/>
      <c r="G23" s="60"/>
      <c r="H23" s="61"/>
    </row>
    <row r="24" spans="2:10" x14ac:dyDescent="0.25">
      <c r="B24" s="59"/>
      <c r="C24" s="60"/>
      <c r="D24" s="60"/>
      <c r="E24" s="60"/>
      <c r="F24" s="80"/>
      <c r="G24" s="60"/>
      <c r="H24" s="61"/>
    </row>
    <row r="25" spans="2:10" ht="13.8" thickBot="1" x14ac:dyDescent="0.3">
      <c r="B25" s="62"/>
      <c r="C25" s="63"/>
      <c r="D25" s="63"/>
      <c r="E25" s="63"/>
      <c r="F25" s="82"/>
      <c r="G25" s="63"/>
      <c r="H25" s="64"/>
    </row>
    <row r="26" spans="2:10" ht="13.8" thickTop="1" x14ac:dyDescent="0.25">
      <c r="B26" s="66" t="s">
        <v>174</v>
      </c>
      <c r="F26" s="70">
        <f>SUM(F19:F25)</f>
        <v>26856</v>
      </c>
    </row>
    <row r="27" spans="2:10" x14ac:dyDescent="0.25">
      <c r="B27" s="66" t="s">
        <v>175</v>
      </c>
      <c r="F27" s="70">
        <f>SUM(F18,F20:F22)</f>
        <v>22793</v>
      </c>
      <c r="I27" s="71">
        <f>SUM(I18:I25)</f>
        <v>5.9451788110879029</v>
      </c>
    </row>
    <row r="28" spans="2:10" x14ac:dyDescent="0.25">
      <c r="B28" s="66" t="s">
        <v>176</v>
      </c>
      <c r="I28" s="87">
        <f>(F27*C$38)/(I27*C$37)</f>
        <v>43.566622950566455</v>
      </c>
    </row>
    <row r="29" spans="2:10" x14ac:dyDescent="0.25">
      <c r="B29" s="66"/>
    </row>
    <row r="30" spans="2:10" x14ac:dyDescent="0.25">
      <c r="B30" s="66" t="s">
        <v>177</v>
      </c>
      <c r="F30" s="70">
        <f>SUM(F14,F27)</f>
        <v>45514</v>
      </c>
      <c r="I30" s="71">
        <f>SUM(I14,I27)</f>
        <v>11.975122320860958</v>
      </c>
      <c r="J30" s="71"/>
    </row>
    <row r="31" spans="2:10" x14ac:dyDescent="0.25">
      <c r="B31" s="66" t="s">
        <v>123</v>
      </c>
      <c r="F31" s="70"/>
      <c r="I31" s="71">
        <f>I30/2</f>
        <v>5.987561160430479</v>
      </c>
      <c r="J31" s="71"/>
    </row>
    <row r="32" spans="2:10" x14ac:dyDescent="0.25">
      <c r="B32" s="66" t="s">
        <v>178</v>
      </c>
      <c r="I32" s="87">
        <f>F30*C38/(I30*C37)</f>
        <v>43.189917530409055</v>
      </c>
      <c r="J32" s="71"/>
    </row>
    <row r="33" spans="2:3" x14ac:dyDescent="0.25">
      <c r="B33" s="66"/>
    </row>
    <row r="34" spans="2:3" x14ac:dyDescent="0.25">
      <c r="B34" s="66"/>
    </row>
    <row r="36" spans="2:3" x14ac:dyDescent="0.25">
      <c r="B36" s="67" t="s">
        <v>116</v>
      </c>
    </row>
    <row r="37" spans="2:3" x14ac:dyDescent="0.25">
      <c r="B37" t="s">
        <v>117</v>
      </c>
      <c r="C37">
        <v>5280</v>
      </c>
    </row>
    <row r="38" spans="2:3" x14ac:dyDescent="0.25">
      <c r="B38" t="s">
        <v>118</v>
      </c>
      <c r="C38">
        <v>60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O16" sqref="O16"/>
    </sheetView>
  </sheetViews>
  <sheetFormatPr defaultRowHeight="13.2" x14ac:dyDescent="0.25"/>
  <cols>
    <col min="15" max="15" width="9.6640625" customWidth="1"/>
  </cols>
  <sheetData>
    <row r="1" spans="1:15" x14ac:dyDescent="0.25">
      <c r="A1" s="119" t="s">
        <v>196</v>
      </c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18</v>
      </c>
      <c r="F4" s="122" t="s">
        <v>198</v>
      </c>
    </row>
    <row r="5" spans="1:15" x14ac:dyDescent="0.25">
      <c r="A5" t="s">
        <v>23</v>
      </c>
      <c r="F5" s="123">
        <f>Distances!P28</f>
        <v>21840</v>
      </c>
      <c r="G5" t="s">
        <v>25</v>
      </c>
      <c r="H5" s="22">
        <f>F5/5280</f>
        <v>4.1363636363636367</v>
      </c>
      <c r="I5" t="s">
        <v>26</v>
      </c>
    </row>
    <row r="6" spans="1:15" x14ac:dyDescent="0.25">
      <c r="A6" t="s">
        <v>45</v>
      </c>
      <c r="B6" s="36"/>
      <c r="F6" s="123">
        <f>COUNT(Distances!P4:P27)+1</f>
        <v>20</v>
      </c>
    </row>
    <row r="7" spans="1:15" x14ac:dyDescent="0.25">
      <c r="A7" t="s">
        <v>46</v>
      </c>
      <c r="B7" s="36"/>
      <c r="F7" s="124">
        <f>Distances!P30</f>
        <v>4.8351648351648349</v>
      </c>
    </row>
    <row r="8" spans="1:15" x14ac:dyDescent="0.25">
      <c r="A8" t="s">
        <v>179</v>
      </c>
      <c r="B8" s="36"/>
      <c r="F8" s="124">
        <f>'Pearl SL'!M41</f>
        <v>33.329784798534796</v>
      </c>
    </row>
    <row r="9" spans="1:15" x14ac:dyDescent="0.25">
      <c r="A9" t="s">
        <v>180</v>
      </c>
      <c r="B9" s="36"/>
      <c r="F9" s="138">
        <f>'Pearl SL'!N41</f>
        <v>7.869277597402597</v>
      </c>
    </row>
    <row r="10" spans="1:15" ht="13.8" thickBot="1" x14ac:dyDescent="0.3"/>
    <row r="11" spans="1:15" ht="13.8" thickTop="1" x14ac:dyDescent="0.25">
      <c r="A11" s="159" t="s">
        <v>3</v>
      </c>
      <c r="B11" s="84" t="s">
        <v>5</v>
      </c>
      <c r="C11" s="96"/>
      <c r="D11" s="96"/>
      <c r="E11" s="96"/>
      <c r="F11" s="96"/>
      <c r="G11" s="96"/>
      <c r="H11" s="97"/>
      <c r="I11" s="163" t="s">
        <v>8</v>
      </c>
      <c r="J11" s="164"/>
      <c r="K11" s="165"/>
      <c r="L11" s="111" t="s">
        <v>10</v>
      </c>
      <c r="M11" s="111"/>
      <c r="N11" s="112"/>
      <c r="O11" s="42"/>
    </row>
    <row r="12" spans="1:15" ht="66" x14ac:dyDescent="0.25">
      <c r="A12" s="160"/>
      <c r="B12" s="1" t="s">
        <v>4</v>
      </c>
      <c r="C12" s="2" t="s">
        <v>6</v>
      </c>
      <c r="D12" s="116" t="s">
        <v>197</v>
      </c>
      <c r="E12" s="2" t="s">
        <v>6</v>
      </c>
      <c r="F12" s="115" t="s">
        <v>197</v>
      </c>
      <c r="G12" s="32" t="s">
        <v>152</v>
      </c>
      <c r="H12" s="33" t="s">
        <v>24</v>
      </c>
      <c r="I12" s="2" t="s">
        <v>9</v>
      </c>
      <c r="J12" s="2" t="s">
        <v>6</v>
      </c>
      <c r="K12" s="116" t="s">
        <v>197</v>
      </c>
      <c r="L12" s="2" t="s">
        <v>11</v>
      </c>
      <c r="M12" s="2" t="s">
        <v>6</v>
      </c>
      <c r="N12" s="117" t="s">
        <v>197</v>
      </c>
      <c r="O12" s="45" t="s">
        <v>71</v>
      </c>
    </row>
    <row r="13" spans="1:15" x14ac:dyDescent="0.25">
      <c r="A13" s="4">
        <v>2007</v>
      </c>
      <c r="B13" s="5">
        <f>11+11/60</f>
        <v>11.183333333333334</v>
      </c>
      <c r="C13" s="6"/>
      <c r="D13" s="6"/>
      <c r="E13" s="7"/>
      <c r="F13" s="24"/>
      <c r="G13" s="25">
        <f>B13/F$9</f>
        <v>1.4211384965024747</v>
      </c>
      <c r="H13" s="35">
        <f>(F$5/B13)*60/5280</f>
        <v>22.192114889581358</v>
      </c>
      <c r="I13" s="5">
        <f>2+49/60</f>
        <v>2.8166666666666664</v>
      </c>
      <c r="J13" s="6"/>
      <c r="K13" s="6"/>
      <c r="L13" s="7">
        <f>I13/B13</f>
        <v>0.25186289120715349</v>
      </c>
      <c r="M13" s="7"/>
      <c r="N13" s="8"/>
      <c r="O13" s="120">
        <f>SUM('[3]13CNTART'!$Q$20:$Q$21)/2</f>
        <v>20298.125</v>
      </c>
    </row>
    <row r="14" spans="1:15" x14ac:dyDescent="0.25">
      <c r="A14" s="9">
        <v>2010</v>
      </c>
      <c r="B14" s="10">
        <f>11+48/60</f>
        <v>11.8</v>
      </c>
      <c r="C14" s="10">
        <f t="shared" ref="C14" si="0">B14-B13</f>
        <v>0.61666666666666714</v>
      </c>
      <c r="D14" s="10">
        <f t="shared" ref="D14" si="1">B14-B$13</f>
        <v>0.61666666666666714</v>
      </c>
      <c r="E14" s="11">
        <f t="shared" ref="E14" si="2">(B14-B13)/B13</f>
        <v>5.514157973174371E-2</v>
      </c>
      <c r="F14" s="25">
        <f t="shared" ref="F14" si="3">(B14-B$13)/B$13</f>
        <v>5.514157973174371E-2</v>
      </c>
      <c r="G14" s="25">
        <f t="shared" ref="G14" si="4">B14/F$9</f>
        <v>1.4995023182172162</v>
      </c>
      <c r="H14" s="37">
        <f>(F$5/B14)*60/5280</f>
        <v>21.032357473035439</v>
      </c>
      <c r="I14" s="10">
        <f>3+23/60</f>
        <v>3.3833333333333333</v>
      </c>
      <c r="J14" s="10">
        <f t="shared" ref="J14" si="5">I14-I13</f>
        <v>0.56666666666666687</v>
      </c>
      <c r="K14" s="10">
        <f t="shared" ref="K14" si="6">I14-I$13</f>
        <v>0.56666666666666687</v>
      </c>
      <c r="L14" s="11">
        <f t="shared" ref="L14" si="7">I14/B14</f>
        <v>0.2867231638418079</v>
      </c>
      <c r="M14" s="11">
        <f t="shared" ref="M14" si="8">L14-L13</f>
        <v>3.486027263465441E-2</v>
      </c>
      <c r="N14" s="12">
        <f t="shared" ref="N14" si="9">L14-L$13</f>
        <v>3.486027263465441E-2</v>
      </c>
      <c r="O14" s="121">
        <f>SUM('[3]13CNTART'!$K$20:$K$21)/2</f>
        <v>18807.5</v>
      </c>
    </row>
    <row r="15" spans="1:15" x14ac:dyDescent="0.25">
      <c r="A15" s="9">
        <f>A14+3</f>
        <v>2013</v>
      </c>
      <c r="B15" s="10"/>
      <c r="C15" s="10"/>
      <c r="D15" s="10"/>
      <c r="E15" s="11"/>
      <c r="F15" s="25"/>
      <c r="G15" s="25"/>
      <c r="H15" s="37"/>
      <c r="I15" s="10"/>
      <c r="J15" s="10"/>
      <c r="K15" s="10"/>
      <c r="L15" s="11"/>
      <c r="M15" s="11"/>
      <c r="N15" s="12"/>
      <c r="O15" s="120">
        <f>SUM('[4]16 AAWDT CNTART'!$K$20:$K$21)/2</f>
        <v>14912.95909477906</v>
      </c>
    </row>
    <row r="16" spans="1:15" x14ac:dyDescent="0.25">
      <c r="A16" s="9">
        <f t="shared" ref="A16:A23" si="10">A15+3</f>
        <v>2016</v>
      </c>
      <c r="B16" s="10"/>
      <c r="C16" s="10"/>
      <c r="D16" s="10"/>
      <c r="E16" s="11"/>
      <c r="F16" s="25"/>
      <c r="G16" s="25"/>
      <c r="H16" s="37"/>
      <c r="I16" s="10"/>
      <c r="J16" s="10"/>
      <c r="K16" s="10"/>
      <c r="L16" s="11"/>
      <c r="M16" s="11"/>
      <c r="N16" s="12"/>
      <c r="O16" s="121">
        <f>SUM('[4]16 AAWDT CNTART'!$E$20:$E$21)/2</f>
        <v>17081.191362234818</v>
      </c>
    </row>
    <row r="17" spans="1:15" x14ac:dyDescent="0.25">
      <c r="A17" s="9">
        <f t="shared" si="10"/>
        <v>2019</v>
      </c>
      <c r="B17" s="10"/>
      <c r="C17" s="10"/>
      <c r="D17" s="10"/>
      <c r="E17" s="11"/>
      <c r="F17" s="25"/>
      <c r="G17" s="25"/>
      <c r="H17" s="37"/>
      <c r="I17" s="10"/>
      <c r="J17" s="10"/>
      <c r="K17" s="10"/>
      <c r="L17" s="11"/>
      <c r="M17" s="11"/>
      <c r="N17" s="12"/>
      <c r="O17" s="107"/>
    </row>
    <row r="18" spans="1:15" x14ac:dyDescent="0.25">
      <c r="A18" s="9">
        <f t="shared" si="10"/>
        <v>2022</v>
      </c>
      <c r="B18" s="10"/>
      <c r="C18" s="10"/>
      <c r="D18" s="10"/>
      <c r="E18" s="11"/>
      <c r="F18" s="25"/>
      <c r="G18" s="25"/>
      <c r="H18" s="37"/>
      <c r="I18" s="10"/>
      <c r="J18" s="10"/>
      <c r="K18" s="10"/>
      <c r="L18" s="11"/>
      <c r="M18" s="11"/>
      <c r="N18" s="12"/>
      <c r="O18" s="107"/>
    </row>
    <row r="19" spans="1:15" x14ac:dyDescent="0.25">
      <c r="A19" s="9">
        <f t="shared" si="10"/>
        <v>2025</v>
      </c>
      <c r="B19" s="10"/>
      <c r="C19" s="10"/>
      <c r="D19" s="10"/>
      <c r="E19" s="11"/>
      <c r="F19" s="25"/>
      <c r="G19" s="25"/>
      <c r="H19" s="37"/>
      <c r="I19" s="10"/>
      <c r="J19" s="10"/>
      <c r="K19" s="10"/>
      <c r="L19" s="11"/>
      <c r="M19" s="11"/>
      <c r="N19" s="12"/>
      <c r="O19" s="107"/>
    </row>
    <row r="20" spans="1:15" x14ac:dyDescent="0.25">
      <c r="A20" s="9">
        <f t="shared" si="10"/>
        <v>2028</v>
      </c>
      <c r="B20" s="101"/>
      <c r="C20" s="101"/>
      <c r="D20" s="101"/>
      <c r="E20" s="102"/>
      <c r="F20" s="103"/>
      <c r="G20" s="103"/>
      <c r="H20" s="104"/>
      <c r="I20" s="101"/>
      <c r="J20" s="101"/>
      <c r="K20" s="101"/>
      <c r="L20" s="102"/>
      <c r="M20" s="102"/>
      <c r="N20" s="106"/>
      <c r="O20" s="107"/>
    </row>
    <row r="21" spans="1:15" x14ac:dyDescent="0.25">
      <c r="A21" s="9">
        <f t="shared" si="10"/>
        <v>2031</v>
      </c>
      <c r="B21" s="10"/>
      <c r="C21" s="10"/>
      <c r="D21" s="10"/>
      <c r="E21" s="11"/>
      <c r="F21" s="25"/>
      <c r="G21" s="25"/>
      <c r="H21" s="37"/>
      <c r="I21" s="10"/>
      <c r="J21" s="10"/>
      <c r="K21" s="10"/>
      <c r="L21" s="11"/>
      <c r="M21" s="11"/>
      <c r="N21" s="12"/>
      <c r="O21" s="107"/>
    </row>
    <row r="22" spans="1:15" x14ac:dyDescent="0.25">
      <c r="A22" s="9">
        <f t="shared" si="10"/>
        <v>2034</v>
      </c>
      <c r="B22" s="10"/>
      <c r="C22" s="10"/>
      <c r="D22" s="10"/>
      <c r="E22" s="11"/>
      <c r="F22" s="25"/>
      <c r="G22" s="25"/>
      <c r="H22" s="37"/>
      <c r="I22" s="10"/>
      <c r="J22" s="10"/>
      <c r="K22" s="10"/>
      <c r="L22" s="11"/>
      <c r="M22" s="11"/>
      <c r="N22" s="12"/>
      <c r="O22" s="107"/>
    </row>
    <row r="23" spans="1:15" ht="13.8" thickBot="1" x14ac:dyDescent="0.3">
      <c r="A23" s="13">
        <f t="shared" si="10"/>
        <v>2037</v>
      </c>
      <c r="B23" s="14"/>
      <c r="C23" s="14"/>
      <c r="D23" s="14"/>
      <c r="E23" s="15"/>
      <c r="F23" s="26"/>
      <c r="G23" s="26"/>
      <c r="H23" s="99"/>
      <c r="I23" s="14"/>
      <c r="J23" s="14"/>
      <c r="K23" s="14"/>
      <c r="L23" s="15"/>
      <c r="M23" s="15"/>
      <c r="N23" s="16"/>
      <c r="O23" s="108"/>
    </row>
    <row r="24" spans="1:15" ht="13.8" thickTop="1" x14ac:dyDescent="0.25"/>
    <row r="25" spans="1:15" x14ac:dyDescent="0.25">
      <c r="A25" t="s">
        <v>14</v>
      </c>
    </row>
    <row r="26" spans="1:15" x14ac:dyDescent="0.25">
      <c r="A26" s="151" t="s">
        <v>303</v>
      </c>
      <c r="B26" s="140"/>
      <c r="C26" s="140"/>
      <c r="D26" s="140"/>
      <c r="E26" s="140"/>
      <c r="F26" s="140"/>
      <c r="G26" s="140"/>
      <c r="H26" s="140"/>
    </row>
    <row r="27" spans="1:15" x14ac:dyDescent="0.25">
      <c r="A27" s="125" t="s">
        <v>213</v>
      </c>
    </row>
  </sheetData>
  <mergeCells count="2">
    <mergeCell ref="A11:A12"/>
    <mergeCell ref="I11:K11"/>
  </mergeCells>
  <pageMargins left="0.75" right="0.75" top="1" bottom="1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4" workbookViewId="0">
      <selection activeCell="A29" sqref="A29"/>
    </sheetView>
  </sheetViews>
  <sheetFormatPr defaultRowHeight="13.2" x14ac:dyDescent="0.25"/>
  <cols>
    <col min="15" max="15" width="9.88671875" customWidth="1"/>
  </cols>
  <sheetData>
    <row r="1" spans="1:15" x14ac:dyDescent="0.25">
      <c r="A1" t="s">
        <v>27</v>
      </c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18</v>
      </c>
      <c r="F4" t="s">
        <v>19</v>
      </c>
    </row>
    <row r="5" spans="1:15" x14ac:dyDescent="0.25">
      <c r="A5" t="s">
        <v>23</v>
      </c>
      <c r="F5" s="36">
        <f>6.5/2*5280</f>
        <v>17160</v>
      </c>
      <c r="G5" t="s">
        <v>25</v>
      </c>
      <c r="H5">
        <f>F5/5280</f>
        <v>3.25</v>
      </c>
    </row>
    <row r="6" spans="1:15" x14ac:dyDescent="0.25">
      <c r="A6" t="s">
        <v>45</v>
      </c>
      <c r="B6" s="36"/>
      <c r="F6" s="36">
        <f>COUNT(Distances!H4:H27)+1</f>
        <v>11</v>
      </c>
      <c r="G6" s="19" t="s">
        <v>70</v>
      </c>
    </row>
    <row r="7" spans="1:15" x14ac:dyDescent="0.25">
      <c r="A7" t="s">
        <v>46</v>
      </c>
      <c r="B7" s="36"/>
      <c r="F7" s="41">
        <f>Distances!H30</f>
        <v>3.3945061367621272</v>
      </c>
    </row>
    <row r="8" spans="1:15" x14ac:dyDescent="0.25">
      <c r="A8" t="s">
        <v>179</v>
      </c>
      <c r="B8" s="36"/>
      <c r="F8" s="41">
        <f>'Valmont SL'!I29</f>
        <v>31.243199536170991</v>
      </c>
    </row>
    <row r="9" spans="1:15" x14ac:dyDescent="0.25">
      <c r="A9" t="s">
        <v>180</v>
      </c>
      <c r="B9" s="36"/>
      <c r="F9" s="22">
        <f>'Valmont SL'!I28</f>
        <v>6.2439042207792212</v>
      </c>
    </row>
    <row r="10" spans="1:15" ht="13.8" thickBot="1" x14ac:dyDescent="0.3"/>
    <row r="11" spans="1:15" ht="13.8" thickTop="1" x14ac:dyDescent="0.25">
      <c r="A11" s="159" t="s">
        <v>3</v>
      </c>
      <c r="B11" s="84" t="s">
        <v>5</v>
      </c>
      <c r="C11" s="96"/>
      <c r="D11" s="96"/>
      <c r="E11" s="96"/>
      <c r="F11" s="96"/>
      <c r="G11" s="49"/>
      <c r="H11" s="97"/>
      <c r="I11" s="163" t="s">
        <v>8</v>
      </c>
      <c r="J11" s="164"/>
      <c r="K11" s="165"/>
      <c r="L11" s="166" t="s">
        <v>10</v>
      </c>
      <c r="M11" s="166"/>
      <c r="N11" s="167"/>
      <c r="O11" s="42"/>
    </row>
    <row r="12" spans="1:15" ht="66" x14ac:dyDescent="0.25">
      <c r="A12" s="160"/>
      <c r="B12" s="30" t="s">
        <v>4</v>
      </c>
      <c r="C12" s="31" t="s">
        <v>6</v>
      </c>
      <c r="D12" s="31" t="s">
        <v>7</v>
      </c>
      <c r="E12" s="31" t="s">
        <v>6</v>
      </c>
      <c r="F12" s="32" t="s">
        <v>7</v>
      </c>
      <c r="G12" s="32" t="s">
        <v>152</v>
      </c>
      <c r="H12" s="33" t="s">
        <v>24</v>
      </c>
      <c r="I12" s="34" t="s">
        <v>9</v>
      </c>
      <c r="J12" s="31" t="s">
        <v>6</v>
      </c>
      <c r="K12" s="31" t="s">
        <v>7</v>
      </c>
      <c r="L12" s="31" t="s">
        <v>11</v>
      </c>
      <c r="M12" s="31" t="s">
        <v>6</v>
      </c>
      <c r="N12" s="33" t="s">
        <v>7</v>
      </c>
      <c r="O12" s="45" t="s">
        <v>71</v>
      </c>
    </row>
    <row r="13" spans="1:15" x14ac:dyDescent="0.25">
      <c r="A13" s="4">
        <v>1987</v>
      </c>
      <c r="B13" s="5">
        <f>10+23/60</f>
        <v>10.383333333333333</v>
      </c>
      <c r="C13" s="6"/>
      <c r="D13" s="6"/>
      <c r="E13" s="7"/>
      <c r="F13" s="24"/>
      <c r="G13" s="7">
        <f t="shared" ref="G13:G22" si="0">B13/F$9</f>
        <v>1.6629552546271318</v>
      </c>
      <c r="H13" s="35">
        <f t="shared" ref="H13:H22" si="1">(F$5/B13)*60/5280</f>
        <v>18.780096308186195</v>
      </c>
      <c r="I13" s="27">
        <f>3+10/60</f>
        <v>3.1666666666666665</v>
      </c>
      <c r="J13" s="6"/>
      <c r="K13" s="6"/>
      <c r="L13" s="7">
        <f t="shared" ref="L13:L22" si="2">I13/B13</f>
        <v>0.30497592295345105</v>
      </c>
      <c r="M13" s="7"/>
      <c r="N13" s="8"/>
      <c r="O13" s="44">
        <f>'[1]01CNTART'!$AF$24</f>
        <v>16623</v>
      </c>
    </row>
    <row r="14" spans="1:15" x14ac:dyDescent="0.25">
      <c r="A14" s="9">
        <v>1989</v>
      </c>
      <c r="B14" s="10">
        <f>9+52/60</f>
        <v>9.8666666666666671</v>
      </c>
      <c r="C14" s="10">
        <f t="shared" ref="C14:C22" si="3">B14-B13</f>
        <v>-0.51666666666666572</v>
      </c>
      <c r="D14" s="10">
        <f t="shared" ref="D14:D22" si="4">B14-B$13</f>
        <v>-0.51666666666666572</v>
      </c>
      <c r="E14" s="11">
        <f t="shared" ref="E14:E22" si="5">(B14-B13)/B13</f>
        <v>-4.9759229534510348E-2</v>
      </c>
      <c r="F14" s="25">
        <f t="shared" ref="F14:F22" si="6">(B14-B$13)/B$13</f>
        <v>-4.9759229534510348E-2</v>
      </c>
      <c r="G14" s="11">
        <f t="shared" si="0"/>
        <v>1.5802078824065202</v>
      </c>
      <c r="H14" s="37">
        <f t="shared" si="1"/>
        <v>19.763513513513512</v>
      </c>
      <c r="I14" s="28">
        <f>3+2/60</f>
        <v>3.0333333333333332</v>
      </c>
      <c r="J14" s="10">
        <f t="shared" ref="J14:J22" si="7">I14-I13</f>
        <v>-0.1333333333333333</v>
      </c>
      <c r="K14" s="10">
        <f t="shared" ref="K14:K22" si="8">I14-I$13</f>
        <v>-0.1333333333333333</v>
      </c>
      <c r="L14" s="11">
        <f t="shared" si="2"/>
        <v>0.3074324324324324</v>
      </c>
      <c r="M14" s="11">
        <f t="shared" ref="M14:M22" si="9">L14-L13</f>
        <v>2.4565094789813502E-3</v>
      </c>
      <c r="N14" s="12">
        <f t="shared" ref="N14:N22" si="10">L14-L$13</f>
        <v>2.4565094789813502E-3</v>
      </c>
      <c r="O14" s="44">
        <f>'[1]01CNTART'!$AC$24</f>
        <v>18860</v>
      </c>
    </row>
    <row r="15" spans="1:15" x14ac:dyDescent="0.25">
      <c r="A15" s="9">
        <v>1991</v>
      </c>
      <c r="B15" s="10">
        <f>9+36/60</f>
        <v>9.6</v>
      </c>
      <c r="C15" s="10">
        <f t="shared" si="3"/>
        <v>-0.2666666666666675</v>
      </c>
      <c r="D15" s="10">
        <f t="shared" si="4"/>
        <v>-0.78333333333333321</v>
      </c>
      <c r="E15" s="11">
        <f t="shared" si="5"/>
        <v>-2.7027027027027108E-2</v>
      </c>
      <c r="F15" s="25">
        <f t="shared" si="6"/>
        <v>-7.5441412520064199E-2</v>
      </c>
      <c r="G15" s="11">
        <f t="shared" si="0"/>
        <v>1.5374995612603979</v>
      </c>
      <c r="H15" s="37">
        <f t="shared" si="1"/>
        <v>20.3125</v>
      </c>
      <c r="I15" s="28">
        <f>2+52/60</f>
        <v>2.8666666666666667</v>
      </c>
      <c r="J15" s="10">
        <f t="shared" si="7"/>
        <v>-0.16666666666666652</v>
      </c>
      <c r="K15" s="10">
        <f t="shared" si="8"/>
        <v>-0.29999999999999982</v>
      </c>
      <c r="L15" s="11">
        <f t="shared" si="2"/>
        <v>0.2986111111111111</v>
      </c>
      <c r="M15" s="11">
        <f t="shared" si="9"/>
        <v>-8.821321321321296E-3</v>
      </c>
      <c r="N15" s="12">
        <f t="shared" si="10"/>
        <v>-6.3648118423399458E-3</v>
      </c>
      <c r="O15" s="44">
        <f>'[1]01CNTART'!$Y$24</f>
        <v>20507</v>
      </c>
    </row>
    <row r="16" spans="1:15" x14ac:dyDescent="0.25">
      <c r="A16" s="9">
        <v>1993</v>
      </c>
      <c r="B16" s="10">
        <f>10+14/60</f>
        <v>10.233333333333333</v>
      </c>
      <c r="C16" s="10">
        <f t="shared" si="3"/>
        <v>0.63333333333333286</v>
      </c>
      <c r="D16" s="10">
        <f t="shared" si="4"/>
        <v>-0.15000000000000036</v>
      </c>
      <c r="E16" s="11">
        <f t="shared" si="5"/>
        <v>6.5972222222222182E-2</v>
      </c>
      <c r="F16" s="25">
        <f t="shared" si="6"/>
        <v>-1.4446227929374032E-2</v>
      </c>
      <c r="G16" s="11">
        <f t="shared" si="0"/>
        <v>1.638931823982438</v>
      </c>
      <c r="H16" s="37">
        <f t="shared" si="1"/>
        <v>19.055374592833878</v>
      </c>
      <c r="I16" s="28">
        <f>3+16/60</f>
        <v>3.2666666666666666</v>
      </c>
      <c r="J16" s="10">
        <f t="shared" si="7"/>
        <v>0.39999999999999991</v>
      </c>
      <c r="K16" s="10">
        <f t="shared" si="8"/>
        <v>0.10000000000000009</v>
      </c>
      <c r="L16" s="11">
        <f t="shared" si="2"/>
        <v>0.31921824104234531</v>
      </c>
      <c r="M16" s="11">
        <f t="shared" si="9"/>
        <v>2.0607129931234203E-2</v>
      </c>
      <c r="N16" s="12">
        <f t="shared" si="10"/>
        <v>1.4242318088894257E-2</v>
      </c>
      <c r="O16" s="44">
        <f>'[1]01CNTART'!$U$24</f>
        <v>24128</v>
      </c>
    </row>
    <row r="17" spans="1:15" x14ac:dyDescent="0.25">
      <c r="A17" s="9">
        <v>1995</v>
      </c>
      <c r="B17" s="10">
        <f>10+16/60</f>
        <v>10.266666666666667</v>
      </c>
      <c r="C17" s="10">
        <f t="shared" si="3"/>
        <v>3.3333333333334991E-2</v>
      </c>
      <c r="D17" s="10">
        <f t="shared" si="4"/>
        <v>-0.11666666666666536</v>
      </c>
      <c r="E17" s="11">
        <f t="shared" si="5"/>
        <v>3.2573289902281754E-3</v>
      </c>
      <c r="F17" s="25">
        <f t="shared" si="6"/>
        <v>-1.123595505617965E-2</v>
      </c>
      <c r="G17" s="11">
        <f t="shared" si="0"/>
        <v>1.6442703641257035</v>
      </c>
      <c r="H17" s="37">
        <f t="shared" si="1"/>
        <v>18.993506493506491</v>
      </c>
      <c r="I17" s="28">
        <f>3+24/60</f>
        <v>3.4</v>
      </c>
      <c r="J17" s="10">
        <f t="shared" si="7"/>
        <v>0.1333333333333333</v>
      </c>
      <c r="K17" s="10">
        <f t="shared" si="8"/>
        <v>0.23333333333333339</v>
      </c>
      <c r="L17" s="11">
        <f t="shared" si="2"/>
        <v>0.33116883116883111</v>
      </c>
      <c r="M17" s="11">
        <f t="shared" si="9"/>
        <v>1.1950590126485805E-2</v>
      </c>
      <c r="N17" s="12">
        <f t="shared" si="10"/>
        <v>2.6192908215380062E-2</v>
      </c>
      <c r="O17" s="44">
        <f>'[1]01CNTART'!$Q$24</f>
        <v>27256</v>
      </c>
    </row>
    <row r="18" spans="1:15" x14ac:dyDescent="0.25">
      <c r="A18" s="9">
        <v>1997</v>
      </c>
      <c r="B18" s="10">
        <v>10</v>
      </c>
      <c r="C18" s="10">
        <f t="shared" si="3"/>
        <v>-0.2666666666666675</v>
      </c>
      <c r="D18" s="10">
        <f t="shared" si="4"/>
        <v>-0.38333333333333286</v>
      </c>
      <c r="E18" s="11">
        <f t="shared" si="5"/>
        <v>-2.5974025974026052E-2</v>
      </c>
      <c r="F18" s="25">
        <f t="shared" si="6"/>
        <v>-3.6918138041733502E-2</v>
      </c>
      <c r="G18" s="11">
        <f t="shared" si="0"/>
        <v>1.6015620429795812</v>
      </c>
      <c r="H18" s="37">
        <f t="shared" si="1"/>
        <v>19.5</v>
      </c>
      <c r="I18" s="28">
        <f>3+7/60</f>
        <v>3.1166666666666667</v>
      </c>
      <c r="J18" s="10">
        <f t="shared" si="7"/>
        <v>-0.28333333333333321</v>
      </c>
      <c r="K18" s="10">
        <f t="shared" si="8"/>
        <v>-4.9999999999999822E-2</v>
      </c>
      <c r="L18" s="11">
        <f t="shared" si="2"/>
        <v>0.31166666666666665</v>
      </c>
      <c r="M18" s="11">
        <f t="shared" si="9"/>
        <v>-1.9502164502164465E-2</v>
      </c>
      <c r="N18" s="12">
        <f t="shared" si="10"/>
        <v>6.6907437132155967E-3</v>
      </c>
      <c r="O18" s="44">
        <f>'[1]01CNTART'!$M$24</f>
        <v>24274</v>
      </c>
    </row>
    <row r="19" spans="1:15" x14ac:dyDescent="0.25">
      <c r="A19" s="9">
        <v>1999</v>
      </c>
      <c r="B19" s="10">
        <f>9+50/60</f>
        <v>9.8333333333333339</v>
      </c>
      <c r="C19" s="10">
        <f t="shared" si="3"/>
        <v>-0.16666666666666607</v>
      </c>
      <c r="D19" s="10">
        <f t="shared" si="4"/>
        <v>-0.54999999999999893</v>
      </c>
      <c r="E19" s="11">
        <f t="shared" si="5"/>
        <v>-1.6666666666666607E-2</v>
      </c>
      <c r="F19" s="25">
        <f t="shared" si="6"/>
        <v>-5.2969502407704552E-2</v>
      </c>
      <c r="G19" s="11">
        <f t="shared" si="0"/>
        <v>1.5748693422632549</v>
      </c>
      <c r="H19" s="37">
        <f t="shared" si="1"/>
        <v>19.830508474576266</v>
      </c>
      <c r="I19" s="28">
        <f>3+7/60</f>
        <v>3.1166666666666667</v>
      </c>
      <c r="J19" s="10">
        <f t="shared" si="7"/>
        <v>0</v>
      </c>
      <c r="K19" s="10">
        <f t="shared" si="8"/>
        <v>-4.9999999999999822E-2</v>
      </c>
      <c r="L19" s="11">
        <f t="shared" si="2"/>
        <v>0.31694915254237288</v>
      </c>
      <c r="M19" s="11">
        <f t="shared" si="9"/>
        <v>5.2824858757062332E-3</v>
      </c>
      <c r="N19" s="12">
        <f t="shared" si="10"/>
        <v>1.197322958892183E-2</v>
      </c>
      <c r="O19" s="44">
        <f>'[1]01CNTART'!$I$24</f>
        <v>23258</v>
      </c>
    </row>
    <row r="20" spans="1:15" x14ac:dyDescent="0.25">
      <c r="A20" s="100">
        <v>2001</v>
      </c>
      <c r="B20" s="101">
        <f>8+57/60</f>
        <v>8.9499999999999993</v>
      </c>
      <c r="C20" s="101">
        <f t="shared" si="3"/>
        <v>-0.88333333333333464</v>
      </c>
      <c r="D20" s="101">
        <f t="shared" si="4"/>
        <v>-1.4333333333333336</v>
      </c>
      <c r="E20" s="102">
        <f t="shared" si="5"/>
        <v>-8.9830508474576395E-2</v>
      </c>
      <c r="F20" s="103">
        <f t="shared" si="6"/>
        <v>-0.13804173354735155</v>
      </c>
      <c r="G20" s="102">
        <f t="shared" si="0"/>
        <v>1.4333980284667251</v>
      </c>
      <c r="H20" s="104">
        <f t="shared" si="1"/>
        <v>21.787709497206706</v>
      </c>
      <c r="I20" s="105">
        <f>2+51/60</f>
        <v>2.85</v>
      </c>
      <c r="J20" s="101">
        <f t="shared" si="7"/>
        <v>-0.26666666666666661</v>
      </c>
      <c r="K20" s="101">
        <f t="shared" si="8"/>
        <v>-0.31666666666666643</v>
      </c>
      <c r="L20" s="102">
        <f t="shared" si="2"/>
        <v>0.31843575418994419</v>
      </c>
      <c r="M20" s="102">
        <f t="shared" si="9"/>
        <v>1.4866016475713062E-3</v>
      </c>
      <c r="N20" s="106">
        <f t="shared" si="10"/>
        <v>1.3459831236493136E-2</v>
      </c>
      <c r="O20" s="44"/>
    </row>
    <row r="21" spans="1:15" x14ac:dyDescent="0.25">
      <c r="A21" s="9">
        <v>2003</v>
      </c>
      <c r="B21" s="10">
        <f>8+12/60</f>
        <v>8.1999999999999993</v>
      </c>
      <c r="C21" s="10">
        <f t="shared" si="3"/>
        <v>-0.75</v>
      </c>
      <c r="D21" s="10">
        <f t="shared" si="4"/>
        <v>-2.1833333333333336</v>
      </c>
      <c r="E21" s="11">
        <f t="shared" si="5"/>
        <v>-8.3798882681564255E-2</v>
      </c>
      <c r="F21" s="25">
        <f t="shared" si="6"/>
        <v>-0.21027287319422155</v>
      </c>
      <c r="G21" s="11">
        <f t="shared" si="0"/>
        <v>1.3132808752432565</v>
      </c>
      <c r="H21" s="37">
        <f t="shared" si="1"/>
        <v>23.780487804878053</v>
      </c>
      <c r="I21" s="28">
        <f>2+23/60</f>
        <v>2.3833333333333333</v>
      </c>
      <c r="J21" s="10">
        <f t="shared" si="7"/>
        <v>-0.46666666666666679</v>
      </c>
      <c r="K21" s="10">
        <f t="shared" si="8"/>
        <v>-0.78333333333333321</v>
      </c>
      <c r="L21" s="11">
        <f t="shared" si="2"/>
        <v>0.29065040650406504</v>
      </c>
      <c r="M21" s="11">
        <f t="shared" si="9"/>
        <v>-2.7785347685879147E-2</v>
      </c>
      <c r="N21" s="12">
        <f t="shared" si="10"/>
        <v>-1.4325516449386011E-2</v>
      </c>
      <c r="O21" s="109"/>
    </row>
    <row r="22" spans="1:15" x14ac:dyDescent="0.25">
      <c r="A22" s="100">
        <v>2005</v>
      </c>
      <c r="B22" s="101">
        <f>10+13/60</f>
        <v>10.216666666666667</v>
      </c>
      <c r="C22" s="101">
        <f t="shared" si="3"/>
        <v>2.0166666666666675</v>
      </c>
      <c r="D22" s="101">
        <f t="shared" si="4"/>
        <v>-0.16666666666666607</v>
      </c>
      <c r="E22" s="102">
        <f t="shared" si="5"/>
        <v>0.24593495934959361</v>
      </c>
      <c r="F22" s="103">
        <f t="shared" si="6"/>
        <v>-1.6051364365971051E-2</v>
      </c>
      <c r="G22" s="102">
        <f t="shared" si="0"/>
        <v>1.6362625539108056</v>
      </c>
      <c r="H22" s="104">
        <f t="shared" si="1"/>
        <v>19.086460032626427</v>
      </c>
      <c r="I22" s="105">
        <f>3+5/60</f>
        <v>3.0833333333333335</v>
      </c>
      <c r="J22" s="101">
        <f t="shared" si="7"/>
        <v>0.70000000000000018</v>
      </c>
      <c r="K22" s="101">
        <f t="shared" si="8"/>
        <v>-8.3333333333333037E-2</v>
      </c>
      <c r="L22" s="102">
        <f t="shared" si="2"/>
        <v>0.30179445350734097</v>
      </c>
      <c r="M22" s="102">
        <f t="shared" si="9"/>
        <v>1.1144047003275925E-2</v>
      </c>
      <c r="N22" s="106">
        <f t="shared" si="10"/>
        <v>-3.1814694461100856E-3</v>
      </c>
      <c r="O22" s="118"/>
    </row>
    <row r="23" spans="1:15" x14ac:dyDescent="0.25">
      <c r="A23" s="9">
        <v>2007</v>
      </c>
      <c r="B23" s="10">
        <f>10+12/60</f>
        <v>10.199999999999999</v>
      </c>
      <c r="C23" s="10">
        <f t="shared" ref="C23:C24" si="11">B23-B22</f>
        <v>-1.6666666666667496E-2</v>
      </c>
      <c r="D23" s="10">
        <f t="shared" ref="D23:D24" si="12">B23-B$13</f>
        <v>-0.18333333333333357</v>
      </c>
      <c r="E23" s="11">
        <f t="shared" ref="E23:E24" si="13">(B23-B22)/B22</f>
        <v>-1.6313213703100322E-3</v>
      </c>
      <c r="F23" s="25">
        <f t="shared" ref="F23:F24" si="14">(B23-B$13)/B$13</f>
        <v>-1.7656500802568243E-2</v>
      </c>
      <c r="G23" s="11">
        <f t="shared" ref="G23:G24" si="15">B23/F$9</f>
        <v>1.6335932838391727</v>
      </c>
      <c r="H23" s="37">
        <f t="shared" ref="H23:H24" si="16">(F$5/B23)*60/5280</f>
        <v>19.117647058823529</v>
      </c>
      <c r="I23" s="28">
        <f>3+2/60</f>
        <v>3.0333333333333332</v>
      </c>
      <c r="J23" s="10">
        <f t="shared" ref="J23:J24" si="17">I23-I22</f>
        <v>-5.0000000000000266E-2</v>
      </c>
      <c r="K23" s="10">
        <f t="shared" ref="K23:K24" si="18">I23-I$13</f>
        <v>-0.1333333333333333</v>
      </c>
      <c r="L23" s="11">
        <f t="shared" ref="L23:L24" si="19">I23/B23</f>
        <v>0.29738562091503268</v>
      </c>
      <c r="M23" s="11">
        <f t="shared" ref="M23:M24" si="20">L23-L22</f>
        <v>-4.4088325923082872E-3</v>
      </c>
      <c r="N23" s="12">
        <f t="shared" ref="N23:N24" si="21">L23-L$13</f>
        <v>-7.5903020384183728E-3</v>
      </c>
      <c r="O23" s="109"/>
    </row>
    <row r="24" spans="1:15" x14ac:dyDescent="0.25">
      <c r="A24" s="9">
        <v>2010</v>
      </c>
      <c r="B24" s="10">
        <f>10+4/60</f>
        <v>10.066666666666666</v>
      </c>
      <c r="C24" s="10">
        <f t="shared" si="11"/>
        <v>-0.13333333333333286</v>
      </c>
      <c r="D24" s="10">
        <f t="shared" si="12"/>
        <v>-0.31666666666666643</v>
      </c>
      <c r="E24" s="11">
        <f t="shared" si="13"/>
        <v>-1.3071895424836557E-2</v>
      </c>
      <c r="F24" s="25">
        <f t="shared" si="14"/>
        <v>-3.0497592295345082E-2</v>
      </c>
      <c r="G24" s="11">
        <f t="shared" si="15"/>
        <v>1.6122391232661117</v>
      </c>
      <c r="H24" s="37">
        <f t="shared" si="16"/>
        <v>19.370860927152318</v>
      </c>
      <c r="I24" s="28">
        <f>3+3/60</f>
        <v>3.05</v>
      </c>
      <c r="J24" s="10">
        <f t="shared" si="17"/>
        <v>1.6666666666666607E-2</v>
      </c>
      <c r="K24" s="10">
        <f t="shared" si="18"/>
        <v>-0.1166666666666667</v>
      </c>
      <c r="L24" s="11">
        <f t="shared" si="19"/>
        <v>0.30298013245033112</v>
      </c>
      <c r="M24" s="11">
        <f t="shared" si="20"/>
        <v>5.5945115352984409E-3</v>
      </c>
      <c r="N24" s="106">
        <f t="shared" si="21"/>
        <v>-1.9957905031199319E-3</v>
      </c>
      <c r="O24" s="118"/>
    </row>
    <row r="25" spans="1:15" x14ac:dyDescent="0.25">
      <c r="A25" s="9">
        <v>2012</v>
      </c>
      <c r="B25" s="10"/>
      <c r="C25" s="10"/>
      <c r="D25" s="10"/>
      <c r="E25" s="11"/>
      <c r="F25" s="25"/>
      <c r="G25" s="11"/>
      <c r="H25" s="37"/>
      <c r="I25" s="28"/>
      <c r="J25" s="10"/>
      <c r="K25" s="10"/>
      <c r="L25" s="11"/>
      <c r="M25" s="11"/>
      <c r="N25" s="12"/>
      <c r="O25" s="109"/>
    </row>
    <row r="26" spans="1:15" ht="13.8" thickBot="1" x14ac:dyDescent="0.3">
      <c r="A26" s="13">
        <v>2014</v>
      </c>
      <c r="B26" s="14">
        <f>10+16/60</f>
        <v>10.266666666666667</v>
      </c>
      <c r="C26" s="14">
        <f t="shared" ref="C26" si="22">B26-B24</f>
        <v>0.20000000000000107</v>
      </c>
      <c r="D26" s="14">
        <f t="shared" ref="D26" si="23">B26-B$13</f>
        <v>-0.11666666666666536</v>
      </c>
      <c r="E26" s="15">
        <f t="shared" ref="E26" si="24">(B26-B24)/B24</f>
        <v>1.9867549668874277E-2</v>
      </c>
      <c r="F26" s="26">
        <f t="shared" ref="F26" si="25">(B26-B$13)/B$13</f>
        <v>-1.123595505617965E-2</v>
      </c>
      <c r="G26" s="15">
        <f t="shared" ref="G26" si="26">B26/F$9</f>
        <v>1.6442703641257035</v>
      </c>
      <c r="H26" s="99">
        <f t="shared" ref="H26" si="27">(F$5/B26)*60/5280</f>
        <v>18.993506493506491</v>
      </c>
      <c r="I26" s="29">
        <f>3+10/60</f>
        <v>3.1666666666666665</v>
      </c>
      <c r="J26" s="14">
        <f t="shared" ref="J26" si="28">I26-I24</f>
        <v>0.1166666666666667</v>
      </c>
      <c r="K26" s="14">
        <f t="shared" ref="K26" si="29">I26-I$13</f>
        <v>0</v>
      </c>
      <c r="L26" s="15">
        <f t="shared" ref="L26" si="30">I26/B26</f>
        <v>0.30844155844155841</v>
      </c>
      <c r="M26" s="15">
        <f t="shared" ref="M26" si="31">L26-L24</f>
        <v>5.4614259912272867E-3</v>
      </c>
      <c r="N26" s="153">
        <f t="shared" ref="N26" si="32">L26-L$13</f>
        <v>3.4656354881073548E-3</v>
      </c>
      <c r="O26" s="154"/>
    </row>
    <row r="27" spans="1:15" ht="13.8" thickTop="1" x14ac:dyDescent="0.25"/>
    <row r="28" spans="1:15" x14ac:dyDescent="0.25">
      <c r="A28" t="s">
        <v>14</v>
      </c>
    </row>
    <row r="29" spans="1:15" x14ac:dyDescent="0.25">
      <c r="A29" t="s">
        <v>186</v>
      </c>
    </row>
    <row r="30" spans="1:15" x14ac:dyDescent="0.25">
      <c r="A30" t="s">
        <v>185</v>
      </c>
    </row>
  </sheetData>
  <mergeCells count="3">
    <mergeCell ref="L11:N11"/>
    <mergeCell ref="A11:A12"/>
    <mergeCell ref="I11:K11"/>
  </mergeCells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4" workbookViewId="0">
      <pane xSplit="1" ySplit="9" topLeftCell="B13" activePane="bottomRight" state="frozen"/>
      <selection activeCell="A4" sqref="A4"/>
      <selection pane="topRight" activeCell="B4" sqref="B4"/>
      <selection pane="bottomLeft" activeCell="A13" sqref="A13"/>
      <selection pane="bottomRight" activeCell="C36" sqref="C36"/>
    </sheetView>
  </sheetViews>
  <sheetFormatPr defaultRowHeight="13.2" x14ac:dyDescent="0.25"/>
  <cols>
    <col min="15" max="15" width="9.6640625" customWidth="1"/>
  </cols>
  <sheetData>
    <row r="1" spans="1:17" x14ac:dyDescent="0.25">
      <c r="A1" t="s">
        <v>2</v>
      </c>
    </row>
    <row r="2" spans="1:17" x14ac:dyDescent="0.25">
      <c r="A2" t="s">
        <v>0</v>
      </c>
    </row>
    <row r="3" spans="1:17" x14ac:dyDescent="0.25">
      <c r="A3" t="s">
        <v>1</v>
      </c>
    </row>
    <row r="4" spans="1:17" x14ac:dyDescent="0.25">
      <c r="A4" t="s">
        <v>20</v>
      </c>
      <c r="E4" t="s">
        <v>21</v>
      </c>
    </row>
    <row r="5" spans="1:17" x14ac:dyDescent="0.25">
      <c r="A5" t="s">
        <v>23</v>
      </c>
      <c r="E5" s="36">
        <f>Distances!B28</f>
        <v>32880</v>
      </c>
      <c r="F5" t="s">
        <v>25</v>
      </c>
      <c r="H5" s="22">
        <f>E5/5280</f>
        <v>6.2272727272727275</v>
      </c>
      <c r="I5" t="s">
        <v>26</v>
      </c>
    </row>
    <row r="6" spans="1:17" x14ac:dyDescent="0.25">
      <c r="A6" t="s">
        <v>45</v>
      </c>
      <c r="B6" s="36"/>
      <c r="E6" s="36">
        <f>COUNT(Distances!B4:B27)+1</f>
        <v>25</v>
      </c>
    </row>
    <row r="7" spans="1:17" x14ac:dyDescent="0.25">
      <c r="A7" t="s">
        <v>46</v>
      </c>
      <c r="B7" s="36"/>
      <c r="E7" s="41">
        <f>Distances!B30</f>
        <v>4.0145985401459852</v>
      </c>
    </row>
    <row r="8" spans="1:17" x14ac:dyDescent="0.25">
      <c r="A8" t="s">
        <v>124</v>
      </c>
      <c r="B8" s="36"/>
      <c r="E8" s="41">
        <f>'Broadway SL'!I31</f>
        <v>34.121640738298133</v>
      </c>
    </row>
    <row r="9" spans="1:17" x14ac:dyDescent="0.25">
      <c r="A9" t="s">
        <v>125</v>
      </c>
      <c r="B9" s="36"/>
      <c r="E9" s="22">
        <f>'Broadway SL'!J32</f>
        <v>10.949629329004329</v>
      </c>
    </row>
    <row r="10" spans="1:17" ht="13.8" thickBot="1" x14ac:dyDescent="0.3"/>
    <row r="11" spans="1:17" ht="13.8" thickTop="1" x14ac:dyDescent="0.25">
      <c r="A11" s="159" t="s">
        <v>3</v>
      </c>
      <c r="B11" s="84" t="s">
        <v>5</v>
      </c>
      <c r="C11" s="49"/>
      <c r="D11" s="49"/>
      <c r="E11" s="49"/>
      <c r="F11" s="49"/>
      <c r="G11" s="49"/>
      <c r="H11" s="50"/>
      <c r="I11" s="163" t="s">
        <v>8</v>
      </c>
      <c r="J11" s="164"/>
      <c r="K11" s="165"/>
      <c r="L11" s="166" t="s">
        <v>10</v>
      </c>
      <c r="M11" s="166"/>
      <c r="N11" s="167"/>
      <c r="O11" s="42"/>
    </row>
    <row r="12" spans="1:17" ht="51" customHeight="1" x14ac:dyDescent="0.25">
      <c r="A12" s="160"/>
      <c r="B12" s="1" t="s">
        <v>4</v>
      </c>
      <c r="C12" s="2" t="s">
        <v>6</v>
      </c>
      <c r="D12" s="2" t="s">
        <v>13</v>
      </c>
      <c r="E12" s="2" t="s">
        <v>6</v>
      </c>
      <c r="F12" s="23" t="s">
        <v>13</v>
      </c>
      <c r="G12" s="32" t="s">
        <v>152</v>
      </c>
      <c r="H12" s="38" t="s">
        <v>24</v>
      </c>
      <c r="I12" s="2" t="s">
        <v>9</v>
      </c>
      <c r="J12" s="2" t="s">
        <v>6</v>
      </c>
      <c r="K12" s="2" t="s">
        <v>13</v>
      </c>
      <c r="L12" s="2" t="s">
        <v>11</v>
      </c>
      <c r="M12" s="2" t="s">
        <v>6</v>
      </c>
      <c r="N12" s="3" t="s">
        <v>13</v>
      </c>
      <c r="O12" s="45" t="s">
        <v>71</v>
      </c>
    </row>
    <row r="13" spans="1:17" ht="12.75" customHeight="1" x14ac:dyDescent="0.25">
      <c r="A13" s="4">
        <v>1986</v>
      </c>
      <c r="B13" s="5">
        <f>13+56/60</f>
        <v>13.933333333333334</v>
      </c>
      <c r="C13" s="6"/>
      <c r="D13" s="6"/>
      <c r="E13" s="7"/>
      <c r="F13" s="85"/>
      <c r="G13" s="25">
        <f t="shared" ref="G13:G26" si="0">B13/E$9</f>
        <v>1.2724936082014675</v>
      </c>
      <c r="H13" s="86">
        <f t="shared" ref="H13:H26" si="1">(E$5/B13)*60/5280</f>
        <v>26.816006959547629</v>
      </c>
      <c r="I13" s="5">
        <f>2+2/60</f>
        <v>2.0333333333333332</v>
      </c>
      <c r="J13" s="6"/>
      <c r="K13" s="6"/>
      <c r="L13" s="7">
        <f t="shared" ref="L13:L26" si="2">I13/B13</f>
        <v>0.14593301435406697</v>
      </c>
      <c r="M13" s="7"/>
      <c r="N13" s="8"/>
      <c r="O13" s="44">
        <f>SUM('[1]01CNTART'!$AK$9:$AK$10,'[1]01CNTART'!$AK$14)/3</f>
        <v>26189.698245614214</v>
      </c>
      <c r="P13" s="36">
        <f t="shared" ref="P13:P22" si="3">C$35+A13*C$36</f>
        <v>27915.409639412566</v>
      </c>
      <c r="Q13" s="47">
        <f t="shared" ref="Q13:Q22" si="4">C$36/O13</f>
        <v>7.0456959225704218E-4</v>
      </c>
    </row>
    <row r="14" spans="1:17" x14ac:dyDescent="0.25">
      <c r="A14" s="9">
        <v>1988</v>
      </c>
      <c r="B14" s="10">
        <f>14+33/60</f>
        <v>14.55</v>
      </c>
      <c r="C14" s="10">
        <f t="shared" ref="C14:C24" si="5">B14-B13</f>
        <v>0.61666666666666714</v>
      </c>
      <c r="D14" s="10">
        <f t="shared" ref="D14:D26" si="6">B14-B$13</f>
        <v>0.61666666666666714</v>
      </c>
      <c r="E14" s="11">
        <f t="shared" ref="E14:E24" si="7">(B14-B13)/B13</f>
        <v>4.4258373205741663E-2</v>
      </c>
      <c r="F14" s="25">
        <f t="shared" ref="F14:F26" si="8">(B14-B$13)/B$13</f>
        <v>4.4258373205741663E-2</v>
      </c>
      <c r="G14" s="25">
        <f t="shared" si="0"/>
        <v>1.3288121052151689</v>
      </c>
      <c r="H14" s="37">
        <f t="shared" si="1"/>
        <v>25.679475164011247</v>
      </c>
      <c r="I14" s="10">
        <f>2+25/60</f>
        <v>2.4166666666666665</v>
      </c>
      <c r="J14" s="10">
        <f t="shared" ref="J14:J24" si="9">I14-I13</f>
        <v>0.3833333333333333</v>
      </c>
      <c r="K14" s="10">
        <f t="shared" ref="K14:K26" si="10">I14-I$13</f>
        <v>0.3833333333333333</v>
      </c>
      <c r="L14" s="11">
        <f t="shared" si="2"/>
        <v>0.16609392898052691</v>
      </c>
      <c r="M14" s="11">
        <f t="shared" ref="M14:M24" si="11">L14-L13</f>
        <v>2.0160914626459941E-2</v>
      </c>
      <c r="N14" s="12">
        <f t="shared" ref="N14:N26" si="12">L14-L$13</f>
        <v>2.0160914626459941E-2</v>
      </c>
      <c r="O14" s="44">
        <f>SUM('[1]01CNTART'!$AE$9:$AE$10,'[1]01CNTART'!$AE$14)/3</f>
        <v>25885.666666666668</v>
      </c>
      <c r="P14" s="36">
        <f t="shared" si="3"/>
        <v>27952.314569441063</v>
      </c>
      <c r="Q14" s="47">
        <f t="shared" si="4"/>
        <v>7.1284488253141559E-4</v>
      </c>
    </row>
    <row r="15" spans="1:17" x14ac:dyDescent="0.25">
      <c r="A15" s="9">
        <v>1990</v>
      </c>
      <c r="B15" s="10">
        <f>14+30/60</f>
        <v>14.5</v>
      </c>
      <c r="C15" s="10">
        <f t="shared" si="5"/>
        <v>-5.0000000000000711E-2</v>
      </c>
      <c r="D15" s="10">
        <f t="shared" si="6"/>
        <v>0.56666666666666643</v>
      </c>
      <c r="E15" s="11">
        <f t="shared" si="7"/>
        <v>-3.4364261168385365E-3</v>
      </c>
      <c r="F15" s="25">
        <f t="shared" si="8"/>
        <v>4.0669856459330127E-2</v>
      </c>
      <c r="G15" s="25">
        <f t="shared" si="0"/>
        <v>1.3242457405924364</v>
      </c>
      <c r="H15" s="37">
        <f t="shared" si="1"/>
        <v>25.768025078369906</v>
      </c>
      <c r="I15" s="10">
        <f>2+35/60</f>
        <v>2.5833333333333335</v>
      </c>
      <c r="J15" s="10">
        <f t="shared" si="9"/>
        <v>0.16666666666666696</v>
      </c>
      <c r="K15" s="10">
        <f t="shared" si="10"/>
        <v>0.55000000000000027</v>
      </c>
      <c r="L15" s="11">
        <f t="shared" si="2"/>
        <v>0.17816091954022989</v>
      </c>
      <c r="M15" s="11">
        <f t="shared" si="11"/>
        <v>1.2066990559702978E-2</v>
      </c>
      <c r="N15" s="12">
        <f t="shared" si="12"/>
        <v>3.222790518616292E-2</v>
      </c>
      <c r="O15" s="44">
        <f>SUM('[1]01CNTART'!$AA$9:$AA$10,'[1]01CNTART'!$AA$14)/3</f>
        <v>25876.666666666668</v>
      </c>
      <c r="P15" s="36">
        <f t="shared" si="3"/>
        <v>27989.219499469553</v>
      </c>
      <c r="Q15" s="47">
        <f t="shared" si="4"/>
        <v>7.130928126077823E-4</v>
      </c>
    </row>
    <row r="16" spans="1:17" x14ac:dyDescent="0.25">
      <c r="A16" s="9">
        <v>1992</v>
      </c>
      <c r="B16" s="10">
        <f>14+47/60</f>
        <v>14.783333333333333</v>
      </c>
      <c r="C16" s="10">
        <f t="shared" si="5"/>
        <v>0.28333333333333321</v>
      </c>
      <c r="D16" s="10">
        <f t="shared" si="6"/>
        <v>0.84999999999999964</v>
      </c>
      <c r="E16" s="11">
        <f t="shared" si="7"/>
        <v>1.9540229885057464E-2</v>
      </c>
      <c r="F16" s="25">
        <f t="shared" si="8"/>
        <v>6.1004784688995187E-2</v>
      </c>
      <c r="G16" s="25">
        <f t="shared" si="0"/>
        <v>1.3501218067879208</v>
      </c>
      <c r="H16" s="37">
        <f t="shared" si="1"/>
        <v>25.274162140002051</v>
      </c>
      <c r="I16" s="10">
        <f>3+42/60</f>
        <v>3.7</v>
      </c>
      <c r="J16" s="10">
        <f t="shared" si="9"/>
        <v>1.1166666666666667</v>
      </c>
      <c r="K16" s="10">
        <f t="shared" si="10"/>
        <v>1.666666666666667</v>
      </c>
      <c r="L16" s="11">
        <f t="shared" si="2"/>
        <v>0.25028184892897409</v>
      </c>
      <c r="M16" s="11">
        <f t="shared" si="11"/>
        <v>7.2120929388744204E-2</v>
      </c>
      <c r="N16" s="12">
        <f t="shared" si="12"/>
        <v>0.10434883457490712</v>
      </c>
      <c r="O16" s="44">
        <f>SUM('[1]01CNTART'!$W$9:$W$10,'[1]01CNTART'!$W$14)/3</f>
        <v>27537.333333333332</v>
      </c>
      <c r="P16" s="36">
        <f t="shared" si="3"/>
        <v>28026.12442949805</v>
      </c>
      <c r="Q16" s="47">
        <f t="shared" si="4"/>
        <v>6.7008903116668459E-4</v>
      </c>
    </row>
    <row r="17" spans="1:17" x14ac:dyDescent="0.25">
      <c r="A17" s="9">
        <v>1994</v>
      </c>
      <c r="B17" s="10">
        <f>15+22/60</f>
        <v>15.366666666666667</v>
      </c>
      <c r="C17" s="10">
        <f t="shared" si="5"/>
        <v>0.58333333333333393</v>
      </c>
      <c r="D17" s="10">
        <f t="shared" si="6"/>
        <v>1.4333333333333336</v>
      </c>
      <c r="E17" s="11">
        <f t="shared" si="7"/>
        <v>3.9458850056369829E-2</v>
      </c>
      <c r="F17" s="25">
        <f t="shared" si="8"/>
        <v>0.1028708133971292</v>
      </c>
      <c r="G17" s="25">
        <f t="shared" si="0"/>
        <v>1.4033960607198004</v>
      </c>
      <c r="H17" s="37">
        <f t="shared" si="1"/>
        <v>24.314730822323014</v>
      </c>
      <c r="I17" s="10">
        <f>3+28/60</f>
        <v>3.4666666666666668</v>
      </c>
      <c r="J17" s="10">
        <f t="shared" si="9"/>
        <v>-0.23333333333333339</v>
      </c>
      <c r="K17" s="10">
        <f t="shared" si="10"/>
        <v>1.4333333333333336</v>
      </c>
      <c r="L17" s="11">
        <f t="shared" si="2"/>
        <v>0.22559652928416485</v>
      </c>
      <c r="M17" s="11">
        <f t="shared" si="11"/>
        <v>-2.4685319644809245E-2</v>
      </c>
      <c r="N17" s="12">
        <f t="shared" si="12"/>
        <v>7.9663514930097878E-2</v>
      </c>
      <c r="O17" s="44">
        <f>SUM('[1]01CNTART'!$S$9:$S$10,'[1]01CNTART'!$S$14)/3</f>
        <v>27492.666666666668</v>
      </c>
      <c r="P17" s="36">
        <f t="shared" si="3"/>
        <v>28063.029359526547</v>
      </c>
      <c r="Q17" s="47">
        <f t="shared" si="4"/>
        <v>6.7117770851308394E-4</v>
      </c>
    </row>
    <row r="18" spans="1:17" x14ac:dyDescent="0.25">
      <c r="A18" s="9">
        <v>1996</v>
      </c>
      <c r="B18" s="10">
        <f>15+6/60</f>
        <v>15.1</v>
      </c>
      <c r="C18" s="10">
        <f t="shared" si="5"/>
        <v>-0.2666666666666675</v>
      </c>
      <c r="D18" s="10">
        <f t="shared" si="6"/>
        <v>1.1666666666666661</v>
      </c>
      <c r="E18" s="11">
        <f t="shared" si="7"/>
        <v>-1.7353579175705042E-2</v>
      </c>
      <c r="F18" s="25">
        <f t="shared" si="8"/>
        <v>8.3732057416267894E-2</v>
      </c>
      <c r="G18" s="25">
        <f t="shared" si="0"/>
        <v>1.3790421160652269</v>
      </c>
      <c r="H18" s="37">
        <f t="shared" si="1"/>
        <v>24.744130042143286</v>
      </c>
      <c r="I18" s="10">
        <f>3+29/60</f>
        <v>3.4833333333333334</v>
      </c>
      <c r="J18" s="10">
        <f t="shared" si="9"/>
        <v>1.6666666666666607E-2</v>
      </c>
      <c r="K18" s="10">
        <f t="shared" si="10"/>
        <v>1.4500000000000002</v>
      </c>
      <c r="L18" s="11">
        <f t="shared" si="2"/>
        <v>0.23068432671081679</v>
      </c>
      <c r="M18" s="11">
        <f t="shared" si="11"/>
        <v>5.087797426651941E-3</v>
      </c>
      <c r="N18" s="12">
        <f t="shared" si="12"/>
        <v>8.4751312356749819E-2</v>
      </c>
      <c r="O18" s="44">
        <f>SUM('[1]01CNTART'!$O$9:$O$10,'[1]01CNTART'!$O$14)/3</f>
        <v>29120</v>
      </c>
      <c r="P18" s="36">
        <f t="shared" si="3"/>
        <v>28099.934289555044</v>
      </c>
      <c r="Q18" s="47">
        <f t="shared" si="4"/>
        <v>6.3366981504970395E-4</v>
      </c>
    </row>
    <row r="19" spans="1:17" x14ac:dyDescent="0.25">
      <c r="A19" s="9">
        <v>1998</v>
      </c>
      <c r="B19" s="10">
        <f>15+9/60</f>
        <v>15.15</v>
      </c>
      <c r="C19" s="10">
        <f t="shared" si="5"/>
        <v>5.0000000000000711E-2</v>
      </c>
      <c r="D19" s="10">
        <f t="shared" si="6"/>
        <v>1.2166666666666668</v>
      </c>
      <c r="E19" s="11">
        <f t="shared" si="7"/>
        <v>3.3112582781457426E-3</v>
      </c>
      <c r="F19" s="25">
        <f t="shared" si="8"/>
        <v>8.7320574162679437E-2</v>
      </c>
      <c r="G19" s="25">
        <f t="shared" si="0"/>
        <v>1.3836084806879594</v>
      </c>
      <c r="H19" s="37">
        <f t="shared" si="1"/>
        <v>24.66246624662466</v>
      </c>
      <c r="I19" s="10">
        <f>3+57/60</f>
        <v>3.95</v>
      </c>
      <c r="J19" s="10">
        <f t="shared" si="9"/>
        <v>0.46666666666666679</v>
      </c>
      <c r="K19" s="10">
        <f t="shared" si="10"/>
        <v>1.916666666666667</v>
      </c>
      <c r="L19" s="11">
        <f t="shared" si="2"/>
        <v>0.26072607260726072</v>
      </c>
      <c r="M19" s="11">
        <f t="shared" si="11"/>
        <v>3.0041745896443928E-2</v>
      </c>
      <c r="N19" s="12">
        <f t="shared" si="12"/>
        <v>0.11479305825319375</v>
      </c>
      <c r="O19" s="44">
        <f>SUM('[1]01CNTART'!$K$9:$K$10,'[1]01CNTART'!$K$14)/3</f>
        <v>30188.083333333332</v>
      </c>
      <c r="P19" s="36">
        <f t="shared" si="3"/>
        <v>28136.839219583533</v>
      </c>
      <c r="Q19" s="47">
        <f t="shared" si="4"/>
        <v>6.112499694166533E-4</v>
      </c>
    </row>
    <row r="20" spans="1:17" x14ac:dyDescent="0.25">
      <c r="A20" s="100">
        <v>2000</v>
      </c>
      <c r="B20" s="101">
        <f>18+20/60</f>
        <v>18.333333333333332</v>
      </c>
      <c r="C20" s="101">
        <f t="shared" si="5"/>
        <v>3.1833333333333318</v>
      </c>
      <c r="D20" s="101">
        <f t="shared" si="6"/>
        <v>4.3999999999999986</v>
      </c>
      <c r="E20" s="102">
        <f t="shared" si="7"/>
        <v>0.21012101210121001</v>
      </c>
      <c r="F20" s="103">
        <f t="shared" si="8"/>
        <v>0.3157894736842104</v>
      </c>
      <c r="G20" s="103">
        <f t="shared" si="0"/>
        <v>1.674333695001931</v>
      </c>
      <c r="H20" s="104">
        <f t="shared" si="1"/>
        <v>20.380165289256201</v>
      </c>
      <c r="I20" s="101">
        <f>7+34/60</f>
        <v>7.5666666666666664</v>
      </c>
      <c r="J20" s="101">
        <f t="shared" si="9"/>
        <v>3.6166666666666663</v>
      </c>
      <c r="K20" s="101">
        <f t="shared" si="10"/>
        <v>5.5333333333333332</v>
      </c>
      <c r="L20" s="102">
        <f t="shared" si="2"/>
        <v>0.41272727272727272</v>
      </c>
      <c r="M20" s="102">
        <f t="shared" si="11"/>
        <v>0.152001200120012</v>
      </c>
      <c r="N20" s="106">
        <f t="shared" si="12"/>
        <v>0.26679425837320575</v>
      </c>
      <c r="O20" s="44">
        <f>SUM('[1]01CNTART'!$G$9:$G$10,'[1]01CNTART'!$G$14)/3</f>
        <v>30329.972222222219</v>
      </c>
      <c r="P20" s="36">
        <f t="shared" si="3"/>
        <v>28173.74414961203</v>
      </c>
      <c r="Q20" s="47">
        <f t="shared" si="4"/>
        <v>6.0839043567364678E-4</v>
      </c>
    </row>
    <row r="21" spans="1:17" x14ac:dyDescent="0.25">
      <c r="A21" s="9">
        <v>2002</v>
      </c>
      <c r="B21" s="10">
        <f>17+49/60</f>
        <v>17.816666666666666</v>
      </c>
      <c r="C21" s="10">
        <f t="shared" si="5"/>
        <v>-0.51666666666666572</v>
      </c>
      <c r="D21" s="10">
        <f t="shared" si="6"/>
        <v>3.8833333333333329</v>
      </c>
      <c r="E21" s="11">
        <f t="shared" si="7"/>
        <v>-2.8181818181818131E-2</v>
      </c>
      <c r="F21" s="25">
        <f t="shared" si="8"/>
        <v>0.27870813397129185</v>
      </c>
      <c r="G21" s="25">
        <f t="shared" si="0"/>
        <v>1.6271479272336948</v>
      </c>
      <c r="H21" s="37">
        <f t="shared" si="1"/>
        <v>20.971171017943703</v>
      </c>
      <c r="I21" s="10">
        <f>6+33/60</f>
        <v>6.55</v>
      </c>
      <c r="J21" s="10">
        <f t="shared" si="9"/>
        <v>-1.0166666666666666</v>
      </c>
      <c r="K21" s="10">
        <f t="shared" si="10"/>
        <v>4.5166666666666666</v>
      </c>
      <c r="L21" s="11">
        <f t="shared" si="2"/>
        <v>0.3676333021515435</v>
      </c>
      <c r="M21" s="11">
        <f t="shared" si="11"/>
        <v>-4.5093970575729225E-2</v>
      </c>
      <c r="N21" s="12">
        <f t="shared" si="12"/>
        <v>0.22170028779747653</v>
      </c>
      <c r="O21" s="107">
        <f>SUM('[5]02CNTART'!$E$9:$E$10,'[5]02CNTART'!$E$14)/3</f>
        <v>34026.25</v>
      </c>
      <c r="P21" s="36">
        <f t="shared" si="3"/>
        <v>28210.649079640527</v>
      </c>
      <c r="Q21" s="47">
        <f t="shared" si="4"/>
        <v>5.4230087107005269E-4</v>
      </c>
    </row>
    <row r="22" spans="1:17" x14ac:dyDescent="0.25">
      <c r="A22" s="9">
        <v>2004</v>
      </c>
      <c r="B22" s="10">
        <f>15+1/60</f>
        <v>15.016666666666667</v>
      </c>
      <c r="C22" s="10">
        <f t="shared" si="5"/>
        <v>-2.7999999999999989</v>
      </c>
      <c r="D22" s="10">
        <f t="shared" si="6"/>
        <v>1.0833333333333339</v>
      </c>
      <c r="E22" s="11">
        <f t="shared" si="7"/>
        <v>-0.15715622076707197</v>
      </c>
      <c r="F22" s="25">
        <f t="shared" si="8"/>
        <v>7.7751196172248849E-2</v>
      </c>
      <c r="G22" s="25">
        <f t="shared" si="0"/>
        <v>1.3714315083606727</v>
      </c>
      <c r="H22" s="37">
        <f t="shared" si="1"/>
        <v>24.881444859247296</v>
      </c>
      <c r="I22" s="10">
        <f>3+17/60</f>
        <v>3.2833333333333332</v>
      </c>
      <c r="J22" s="10">
        <f t="shared" si="9"/>
        <v>-3.2666666666666666</v>
      </c>
      <c r="K22" s="10">
        <f t="shared" si="10"/>
        <v>1.25</v>
      </c>
      <c r="L22" s="11">
        <f t="shared" si="2"/>
        <v>0.21864594894561595</v>
      </c>
      <c r="M22" s="11">
        <f t="shared" si="11"/>
        <v>-0.14898735320592754</v>
      </c>
      <c r="N22" s="12">
        <f t="shared" si="12"/>
        <v>7.2712934591548983E-2</v>
      </c>
      <c r="O22" s="107">
        <f>SUM('[2]05CNTART'!$G$9:$G$10,'[2]05CNTART'!$G$14)/3</f>
        <v>29908</v>
      </c>
      <c r="P22" s="36">
        <f t="shared" si="3"/>
        <v>28247.554009669017</v>
      </c>
      <c r="Q22" s="47">
        <f t="shared" si="4"/>
        <v>6.1697422142060251E-4</v>
      </c>
    </row>
    <row r="23" spans="1:17" x14ac:dyDescent="0.25">
      <c r="A23" s="100">
        <v>2006</v>
      </c>
      <c r="B23" s="101">
        <f t="shared" ref="B23" si="13">15+19/60</f>
        <v>15.316666666666666</v>
      </c>
      <c r="C23" s="101">
        <f t="shared" si="5"/>
        <v>0.29999999999999893</v>
      </c>
      <c r="D23" s="101">
        <f t="shared" ref="D23:D24" si="14">B23-B$13</f>
        <v>1.3833333333333329</v>
      </c>
      <c r="E23" s="102">
        <f t="shared" si="7"/>
        <v>1.9977802441731338E-2</v>
      </c>
      <c r="F23" s="103">
        <f t="shared" ref="F23:F24" si="15">(B23-B$13)/B$13</f>
        <v>9.9282296650717666E-2</v>
      </c>
      <c r="G23" s="103">
        <f t="shared" ref="G23:G24" si="16">B23/E$9</f>
        <v>1.3988296960970679</v>
      </c>
      <c r="H23" s="104">
        <f t="shared" ref="H23:H24" si="17">(E$5/B23)*60/5280</f>
        <v>24.394104263527549</v>
      </c>
      <c r="I23" s="101">
        <f t="shared" ref="I23" si="18">2+50/60</f>
        <v>2.8333333333333335</v>
      </c>
      <c r="J23" s="10">
        <f t="shared" si="9"/>
        <v>-0.44999999999999973</v>
      </c>
      <c r="K23" s="101">
        <f t="shared" ref="K23:K24" si="19">I23-I$13</f>
        <v>0.80000000000000027</v>
      </c>
      <c r="L23" s="102">
        <f t="shared" ref="L23:L24" si="20">I23/B23</f>
        <v>0.18498367791077258</v>
      </c>
      <c r="M23" s="102">
        <f t="shared" si="11"/>
        <v>-3.3662271034843372E-2</v>
      </c>
      <c r="N23" s="106">
        <f t="shared" ref="N23:N24" si="21">L23-L$13</f>
        <v>3.9050663556705612E-2</v>
      </c>
      <c r="O23" s="113">
        <f>SUM('[6]06CNTART'!$G$9:$G$10,'[6]06CNTART'!$G$14)/3</f>
        <v>31311.666666666668</v>
      </c>
      <c r="P23" s="36">
        <f t="shared" ref="P23" si="22">C$35+A23*C$36</f>
        <v>28284.458939697513</v>
      </c>
      <c r="Q23" s="47">
        <f t="shared" ref="Q23" si="23">C$36/O23</f>
        <v>5.8931596362103733E-4</v>
      </c>
    </row>
    <row r="24" spans="1:17" x14ac:dyDescent="0.25">
      <c r="A24" s="9">
        <v>2008</v>
      </c>
      <c r="B24" s="10">
        <f>16+14/60</f>
        <v>16.233333333333334</v>
      </c>
      <c r="C24" s="10">
        <f t="shared" si="5"/>
        <v>0.91666666666666785</v>
      </c>
      <c r="D24" s="10">
        <f t="shared" si="14"/>
        <v>2.3000000000000007</v>
      </c>
      <c r="E24" s="11">
        <f t="shared" si="7"/>
        <v>5.9847660500544145E-2</v>
      </c>
      <c r="F24" s="25">
        <f t="shared" si="15"/>
        <v>0.16507177033492829</v>
      </c>
      <c r="G24" s="25">
        <f t="shared" si="16"/>
        <v>1.4825463808471644</v>
      </c>
      <c r="H24" s="37">
        <f t="shared" si="17"/>
        <v>23.016613776367368</v>
      </c>
      <c r="I24" s="10">
        <f>4+12/60</f>
        <v>4.2</v>
      </c>
      <c r="J24" s="10">
        <f t="shared" si="9"/>
        <v>1.3666666666666667</v>
      </c>
      <c r="K24" s="10">
        <f t="shared" si="19"/>
        <v>2.166666666666667</v>
      </c>
      <c r="L24" s="11">
        <f t="shared" si="20"/>
        <v>0.25872689938398358</v>
      </c>
      <c r="M24" s="11">
        <f t="shared" si="11"/>
        <v>7.3743221473210996E-2</v>
      </c>
      <c r="N24" s="12">
        <f t="shared" si="21"/>
        <v>0.11279388502991661</v>
      </c>
      <c r="O24" s="121">
        <f>SUM('[3]13CNTART'!$O$9:$O$10,'[3]13CNTART'!$O$14)/3</f>
        <v>27131.148148148146</v>
      </c>
      <c r="P24" s="36">
        <f>C$35+A24*C$36</f>
        <v>28321.36386972601</v>
      </c>
      <c r="Q24" s="47">
        <f>C$36/O24</f>
        <v>6.8012105177004333E-4</v>
      </c>
    </row>
    <row r="25" spans="1:17" x14ac:dyDescent="0.25">
      <c r="A25" s="9">
        <v>2010</v>
      </c>
      <c r="B25" s="10"/>
      <c r="C25" s="10"/>
      <c r="D25" s="10"/>
      <c r="E25" s="11"/>
      <c r="F25" s="25"/>
      <c r="G25" s="25"/>
      <c r="H25" s="37"/>
      <c r="I25" s="10"/>
      <c r="J25" s="10"/>
      <c r="K25" s="10"/>
      <c r="L25" s="11"/>
      <c r="M25" s="11"/>
      <c r="N25" s="12"/>
      <c r="O25" s="121">
        <f>AVERAGE('[4]16 AAWDT CNTART'!$Q$9,'[4]16 AAWDT CNTART'!$Q$10,'[4]16 AAWDT CNTART'!$Q$14)</f>
        <v>27104.916666666668</v>
      </c>
      <c r="P25" s="36">
        <f>C$35+A25*C$36</f>
        <v>28358.268799754507</v>
      </c>
      <c r="Q25" s="47">
        <f>C$36/O25</f>
        <v>6.8077925644169281E-4</v>
      </c>
    </row>
    <row r="26" spans="1:17" x14ac:dyDescent="0.25">
      <c r="A26" s="9">
        <v>2012</v>
      </c>
      <c r="B26" s="10">
        <f>15+36/60</f>
        <v>15.6</v>
      </c>
      <c r="C26" s="10">
        <f>B26-B24</f>
        <v>-0.63333333333333464</v>
      </c>
      <c r="D26" s="10">
        <f t="shared" si="6"/>
        <v>1.6666666666666661</v>
      </c>
      <c r="E26" s="11">
        <f>(B26-B24)/B24</f>
        <v>-3.9014373716632522E-2</v>
      </c>
      <c r="F26" s="25">
        <f t="shared" si="8"/>
        <v>0.11961722488038273</v>
      </c>
      <c r="G26" s="25">
        <f t="shared" si="0"/>
        <v>1.4247057622925521</v>
      </c>
      <c r="H26" s="37">
        <f t="shared" si="1"/>
        <v>23.95104895104895</v>
      </c>
      <c r="I26" s="10">
        <f>3+24/60</f>
        <v>3.4</v>
      </c>
      <c r="J26" s="10">
        <f>I26-I24</f>
        <v>-0.80000000000000027</v>
      </c>
      <c r="K26" s="10">
        <f t="shared" si="10"/>
        <v>1.3666666666666667</v>
      </c>
      <c r="L26" s="11">
        <f t="shared" si="2"/>
        <v>0.21794871794871795</v>
      </c>
      <c r="M26" s="11">
        <f>L26-L24</f>
        <v>-4.0778181435265626E-2</v>
      </c>
      <c r="N26" s="12">
        <f t="shared" si="12"/>
        <v>7.2015703594650982E-2</v>
      </c>
      <c r="O26" s="121">
        <f>AVERAGE('[4]16 AAWDT CNTART'!$M$9,'[4]16 AAWDT CNTART'!$M$10,'[4]16 AAWDT CNTART'!$M$14)</f>
        <v>25198.16715450729</v>
      </c>
      <c r="P26" s="36">
        <f>C$35+A26*C$36</f>
        <v>28395.173729782997</v>
      </c>
      <c r="Q26" s="47">
        <f>C$36/O26</f>
        <v>7.3229393634475983E-4</v>
      </c>
    </row>
    <row r="27" spans="1:17" x14ac:dyDescent="0.25">
      <c r="A27" s="9">
        <v>2014</v>
      </c>
      <c r="B27" s="10">
        <f>15+38/60</f>
        <v>15.633333333333333</v>
      </c>
      <c r="C27" s="10">
        <f>B27-B26</f>
        <v>3.3333333333333215E-2</v>
      </c>
      <c r="D27" s="10">
        <f t="shared" ref="D27" si="24">B27-B$13</f>
        <v>1.6999999999999993</v>
      </c>
      <c r="E27" s="11">
        <f>(B27-B26)/B26</f>
        <v>2.1367521367521292E-3</v>
      </c>
      <c r="F27" s="25">
        <f t="shared" ref="F27" si="25">(B27-B$13)/B$13</f>
        <v>0.12200956937799037</v>
      </c>
      <c r="G27" s="25">
        <f t="shared" ref="G27" si="26">B27/E$9</f>
        <v>1.4277500053743739</v>
      </c>
      <c r="H27" s="37">
        <f t="shared" ref="H27" si="27">(E$5/B27)*60/5280</f>
        <v>23.89998061639853</v>
      </c>
      <c r="I27" s="10">
        <f>3+33/60</f>
        <v>3.55</v>
      </c>
      <c r="J27" s="10">
        <f>I27-I26</f>
        <v>0.14999999999999991</v>
      </c>
      <c r="K27" s="10">
        <f t="shared" ref="K27" si="28">I27-I$13</f>
        <v>1.5166666666666666</v>
      </c>
      <c r="L27" s="11">
        <f t="shared" ref="L27" si="29">I27/B27</f>
        <v>0.22707889125799574</v>
      </c>
      <c r="M27" s="11">
        <f>L27-L26</f>
        <v>9.1301733092777893E-3</v>
      </c>
      <c r="N27" s="12">
        <f t="shared" ref="N27" si="30">L27-L$13</f>
        <v>8.1145876903928771E-2</v>
      </c>
      <c r="O27" s="121">
        <f>AVERAGE('[4]16 AAWDT CNTART'!$I$9,'[4]16 AAWDT CNTART'!$I$10,'[4]16 AAWDT CNTART'!$I$14)</f>
        <v>26048.822515199528</v>
      </c>
      <c r="P27" s="36">
        <f>C$35+A27*C$36</f>
        <v>28432.078659811494</v>
      </c>
      <c r="Q27" s="47">
        <f>C$36/O27</f>
        <v>7.0838000464244928E-4</v>
      </c>
    </row>
    <row r="28" spans="1:17" ht="13.8" thickBot="1" x14ac:dyDescent="0.3">
      <c r="A28" s="13">
        <v>2016</v>
      </c>
      <c r="B28" s="14">
        <f>17+6/60</f>
        <v>17.100000000000001</v>
      </c>
      <c r="C28" s="14">
        <f>B28-B27</f>
        <v>1.4666666666666686</v>
      </c>
      <c r="D28" s="14">
        <f t="shared" ref="D28" si="31">B28-B$13</f>
        <v>3.1666666666666679</v>
      </c>
      <c r="E28" s="15">
        <f>(B28-B27)/B27</f>
        <v>9.3816631130064096E-2</v>
      </c>
      <c r="F28" s="26">
        <f t="shared" ref="F28" si="32">(B28-B$13)/B$13</f>
        <v>0.22727272727272735</v>
      </c>
      <c r="G28" s="26">
        <f t="shared" ref="G28" si="33">B28/E$9</f>
        <v>1.5616967009745286</v>
      </c>
      <c r="H28" s="99">
        <f t="shared" ref="H28" si="34">(E$5/B28)*60/5280</f>
        <v>21.850079744816586</v>
      </c>
      <c r="I28" s="14">
        <f>4+2/60</f>
        <v>4.0333333333333332</v>
      </c>
      <c r="J28" s="14">
        <f>I28-I27</f>
        <v>0.48333333333333339</v>
      </c>
      <c r="K28" s="14">
        <f t="shared" ref="K28" si="35">I28-I$13</f>
        <v>2</v>
      </c>
      <c r="L28" s="15">
        <f t="shared" ref="L28" si="36">I28/B28</f>
        <v>0.23586744639376217</v>
      </c>
      <c r="M28" s="15">
        <f>L28-L27</f>
        <v>8.7885551357664293E-3</v>
      </c>
      <c r="N28" s="16">
        <f t="shared" ref="N28" si="37">L28-L$13</f>
        <v>8.99344320396952E-2</v>
      </c>
      <c r="O28" s="150">
        <f>AVERAGE('[4]16 AAWDT CNTART'!$E$9,'[4]16 AAWDT CNTART'!$E$10,'[4]16 AAWDT CNTART'!$E$14)</f>
        <v>27726.087548328942</v>
      </c>
      <c r="P28" s="36">
        <f>C$35+A28*C$36</f>
        <v>28468.983589839991</v>
      </c>
      <c r="Q28" s="47">
        <f>C$36/O28</f>
        <v>6.6552718561835149E-4</v>
      </c>
    </row>
    <row r="29" spans="1:17" ht="13.8" thickTop="1" x14ac:dyDescent="0.25"/>
    <row r="30" spans="1:17" x14ac:dyDescent="0.25">
      <c r="A30" t="s">
        <v>14</v>
      </c>
    </row>
    <row r="31" spans="1:17" x14ac:dyDescent="0.25">
      <c r="A31" s="19" t="s">
        <v>15</v>
      </c>
    </row>
    <row r="32" spans="1:17" x14ac:dyDescent="0.25">
      <c r="A32" s="19" t="s">
        <v>74</v>
      </c>
    </row>
    <row r="34" spans="1:3" x14ac:dyDescent="0.25">
      <c r="A34" s="46" t="s">
        <v>75</v>
      </c>
      <c r="C34" s="46">
        <v>5.2730058256720922E-3</v>
      </c>
    </row>
    <row r="35" spans="1:3" x14ac:dyDescent="0.25">
      <c r="A35" s="46" t="s">
        <v>76</v>
      </c>
      <c r="C35" s="46">
        <v>-8731.1858788827303</v>
      </c>
    </row>
    <row r="36" spans="1:3" x14ac:dyDescent="0.25">
      <c r="A36" s="46" t="s">
        <v>77</v>
      </c>
      <c r="B36" s="48"/>
      <c r="C36" s="46">
        <v>18.45246501424738</v>
      </c>
    </row>
    <row r="37" spans="1:3" x14ac:dyDescent="0.25">
      <c r="A37" t="s">
        <v>78</v>
      </c>
      <c r="C37" s="152">
        <f>AVERAGE(Q13:Q20)</f>
        <v>6.6563553090200154E-4</v>
      </c>
    </row>
    <row r="41" spans="1:3" x14ac:dyDescent="0.25">
      <c r="A41" s="119" t="s">
        <v>304</v>
      </c>
    </row>
    <row r="42" spans="1:3" x14ac:dyDescent="0.25">
      <c r="A42">
        <v>1986</v>
      </c>
      <c r="B42" s="110">
        <v>26189.698245614214</v>
      </c>
    </row>
    <row r="43" spans="1:3" x14ac:dyDescent="0.25">
      <c r="A43">
        <v>1988</v>
      </c>
      <c r="B43" s="110">
        <v>25885.666666666668</v>
      </c>
    </row>
    <row r="44" spans="1:3" x14ac:dyDescent="0.25">
      <c r="A44">
        <v>1990</v>
      </c>
      <c r="B44" s="110">
        <v>25876.666666666668</v>
      </c>
    </row>
    <row r="45" spans="1:3" x14ac:dyDescent="0.25">
      <c r="A45">
        <v>1992</v>
      </c>
      <c r="B45" s="110">
        <v>27537.333333333332</v>
      </c>
    </row>
    <row r="46" spans="1:3" x14ac:dyDescent="0.25">
      <c r="A46">
        <v>1994</v>
      </c>
      <c r="B46" s="110">
        <v>27492.666666666668</v>
      </c>
    </row>
    <row r="47" spans="1:3" x14ac:dyDescent="0.25">
      <c r="A47">
        <v>1996</v>
      </c>
      <c r="B47" s="110">
        <v>29120</v>
      </c>
    </row>
    <row r="48" spans="1:3" x14ac:dyDescent="0.25">
      <c r="A48">
        <v>1998</v>
      </c>
      <c r="B48" s="110">
        <v>30188.083333333332</v>
      </c>
    </row>
    <row r="49" spans="1:2" x14ac:dyDescent="0.25">
      <c r="A49">
        <v>2000</v>
      </c>
      <c r="B49" s="110">
        <v>30329.972222222219</v>
      </c>
    </row>
    <row r="50" spans="1:2" x14ac:dyDescent="0.25">
      <c r="A50">
        <v>2002</v>
      </c>
      <c r="B50" s="110">
        <v>34026.25</v>
      </c>
    </row>
    <row r="51" spans="1:2" x14ac:dyDescent="0.25">
      <c r="A51">
        <v>2004</v>
      </c>
      <c r="B51" s="110">
        <v>29908</v>
      </c>
    </row>
    <row r="52" spans="1:2" x14ac:dyDescent="0.25">
      <c r="A52">
        <v>2006</v>
      </c>
      <c r="B52" s="110">
        <v>31311.666666666668</v>
      </c>
    </row>
    <row r="53" spans="1:2" x14ac:dyDescent="0.25">
      <c r="A53">
        <v>2008</v>
      </c>
      <c r="B53" s="110">
        <v>27131.148148148146</v>
      </c>
    </row>
    <row r="54" spans="1:2" x14ac:dyDescent="0.25">
      <c r="A54">
        <v>2010</v>
      </c>
      <c r="B54" s="110">
        <v>27104.916666666668</v>
      </c>
    </row>
    <row r="55" spans="1:2" x14ac:dyDescent="0.25">
      <c r="A55">
        <v>2012</v>
      </c>
      <c r="B55" s="110">
        <v>25198.16715450729</v>
      </c>
    </row>
    <row r="56" spans="1:2" x14ac:dyDescent="0.25">
      <c r="A56">
        <v>2014</v>
      </c>
      <c r="B56" s="110">
        <v>26048.822515199528</v>
      </c>
    </row>
    <row r="57" spans="1:2" x14ac:dyDescent="0.25">
      <c r="A57">
        <v>2016</v>
      </c>
      <c r="B57" s="110">
        <v>27726.087548328942</v>
      </c>
    </row>
  </sheetData>
  <mergeCells count="3">
    <mergeCell ref="A11:A12"/>
    <mergeCell ref="L11:N11"/>
    <mergeCell ref="I11:K11"/>
  </mergeCells>
  <phoneticPr fontId="7" type="noConversion"/>
  <pageMargins left="0.75" right="0.75" top="1" bottom="1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7" workbookViewId="0">
      <selection activeCell="O25" sqref="O25"/>
    </sheetView>
  </sheetViews>
  <sheetFormatPr defaultRowHeight="13.2" x14ac:dyDescent="0.25"/>
  <cols>
    <col min="15" max="15" width="9.6640625" customWidth="1"/>
  </cols>
  <sheetData>
    <row r="1" spans="1:15" x14ac:dyDescent="0.25">
      <c r="A1" t="s">
        <v>16</v>
      </c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18</v>
      </c>
      <c r="F4" t="s">
        <v>22</v>
      </c>
    </row>
    <row r="5" spans="1:15" x14ac:dyDescent="0.25">
      <c r="A5" t="s">
        <v>23</v>
      </c>
      <c r="F5" s="36">
        <f>Distances!F28</f>
        <v>22769.5</v>
      </c>
      <c r="G5" t="s">
        <v>25</v>
      </c>
      <c r="H5" s="22">
        <f>F5/5280</f>
        <v>4.3124053030303031</v>
      </c>
      <c r="I5" t="s">
        <v>26</v>
      </c>
    </row>
    <row r="6" spans="1:15" x14ac:dyDescent="0.25">
      <c r="A6" t="s">
        <v>45</v>
      </c>
      <c r="B6" s="36"/>
      <c r="F6" s="36">
        <f>COUNT(Distances!F4:F27)+1</f>
        <v>11</v>
      </c>
    </row>
    <row r="7" spans="1:15" x14ac:dyDescent="0.25">
      <c r="A7" t="s">
        <v>46</v>
      </c>
      <c r="B7" s="36"/>
      <c r="F7" s="41">
        <f>Distances!F30</f>
        <v>2.3188914995937546</v>
      </c>
      <c r="G7" t="str">
        <f>Distances!F31</f>
        <v>Signals per mile for Colorado to Kalmia</v>
      </c>
    </row>
    <row r="8" spans="1:15" x14ac:dyDescent="0.25">
      <c r="A8" t="s">
        <v>179</v>
      </c>
      <c r="B8" s="36"/>
      <c r="F8" s="41">
        <f>'28th SL'!I32</f>
        <v>43.189917530409055</v>
      </c>
    </row>
    <row r="9" spans="1:15" x14ac:dyDescent="0.25">
      <c r="A9" t="s">
        <v>180</v>
      </c>
      <c r="B9" s="36"/>
      <c r="F9" s="22">
        <f>'28th SL'!I31</f>
        <v>5.987561160430479</v>
      </c>
    </row>
    <row r="10" spans="1:15" ht="13.8" thickBot="1" x14ac:dyDescent="0.3"/>
    <row r="11" spans="1:15" ht="13.8" thickTop="1" x14ac:dyDescent="0.25">
      <c r="A11" s="159" t="s">
        <v>3</v>
      </c>
      <c r="B11" s="84" t="s">
        <v>5</v>
      </c>
      <c r="C11" s="96"/>
      <c r="D11" s="96"/>
      <c r="E11" s="96"/>
      <c r="F11" s="96"/>
      <c r="G11" s="96"/>
      <c r="H11" s="97"/>
      <c r="I11" s="163" t="s">
        <v>8</v>
      </c>
      <c r="J11" s="164"/>
      <c r="K11" s="165"/>
      <c r="L11" s="17" t="s">
        <v>10</v>
      </c>
      <c r="M11" s="17"/>
      <c r="N11" s="18"/>
      <c r="O11" s="42"/>
    </row>
    <row r="12" spans="1:15" ht="66" x14ac:dyDescent="0.25">
      <c r="A12" s="160"/>
      <c r="B12" s="1" t="s">
        <v>4</v>
      </c>
      <c r="C12" s="2" t="s">
        <v>6</v>
      </c>
      <c r="D12" s="2" t="s">
        <v>13</v>
      </c>
      <c r="E12" s="2" t="s">
        <v>6</v>
      </c>
      <c r="F12" s="23" t="s">
        <v>13</v>
      </c>
      <c r="G12" s="32" t="s">
        <v>152</v>
      </c>
      <c r="H12" s="33" t="s">
        <v>24</v>
      </c>
      <c r="I12" s="2" t="s">
        <v>9</v>
      </c>
      <c r="J12" s="2" t="s">
        <v>6</v>
      </c>
      <c r="K12" s="2" t="s">
        <v>13</v>
      </c>
      <c r="L12" s="2" t="s">
        <v>11</v>
      </c>
      <c r="M12" s="2" t="s">
        <v>6</v>
      </c>
      <c r="N12" s="3" t="s">
        <v>13</v>
      </c>
      <c r="O12" s="45" t="s">
        <v>71</v>
      </c>
    </row>
    <row r="13" spans="1:15" x14ac:dyDescent="0.25">
      <c r="A13" s="4">
        <v>1986</v>
      </c>
      <c r="B13" s="5">
        <f>9+7/60</f>
        <v>9.1166666666666671</v>
      </c>
      <c r="C13" s="6"/>
      <c r="D13" s="6"/>
      <c r="E13" s="7"/>
      <c r="F13" s="24"/>
      <c r="G13" s="25">
        <f t="shared" ref="G13:G22" si="0">B13/F$9</f>
        <v>1.5226010093918139</v>
      </c>
      <c r="H13" s="35">
        <f t="shared" ref="H13:H22" si="1">(F$5/B13)*60/5280</f>
        <v>28.38146086089413</v>
      </c>
      <c r="I13" s="5">
        <f>1+43/60</f>
        <v>1.7166666666666668</v>
      </c>
      <c r="J13" s="6"/>
      <c r="K13" s="6"/>
      <c r="L13" s="7">
        <f t="shared" ref="L13:L22" si="2">I13/B13</f>
        <v>0.1882998171846435</v>
      </c>
      <c r="M13" s="7"/>
      <c r="N13" s="8"/>
      <c r="O13" s="44">
        <f>SUM('[1]01CNTART'!$AK$25:$AK$26)/2</f>
        <v>34791.964383667218</v>
      </c>
    </row>
    <row r="14" spans="1:15" x14ac:dyDescent="0.25">
      <c r="A14" s="9">
        <v>1988</v>
      </c>
      <c r="B14" s="10">
        <f>8+49/60</f>
        <v>8.8166666666666664</v>
      </c>
      <c r="C14" s="10">
        <f t="shared" ref="C14:C22" si="3">B14-B13</f>
        <v>-0.30000000000000071</v>
      </c>
      <c r="D14" s="10">
        <f t="shared" ref="D14:D22" si="4">B14-B$13</f>
        <v>-0.30000000000000071</v>
      </c>
      <c r="E14" s="11">
        <f t="shared" ref="E14:E22" si="5">(B14-B13)/B13</f>
        <v>-3.2906764168190203E-2</v>
      </c>
      <c r="F14" s="25">
        <f t="shared" ref="F14:F22" si="6">(B14-B$13)/B$13</f>
        <v>-3.2906764168190203E-2</v>
      </c>
      <c r="G14" s="25">
        <f t="shared" si="0"/>
        <v>1.4724971370535089</v>
      </c>
      <c r="H14" s="37">
        <f t="shared" si="1"/>
        <v>29.347181646330984</v>
      </c>
      <c r="I14" s="10">
        <f>1+25/60</f>
        <v>1.4166666666666667</v>
      </c>
      <c r="J14" s="10">
        <f t="shared" ref="J14:J22" si="7">I14-I13</f>
        <v>-0.30000000000000004</v>
      </c>
      <c r="K14" s="10">
        <f t="shared" ref="K14:K22" si="8">I14-I$13</f>
        <v>-0.30000000000000004</v>
      </c>
      <c r="L14" s="11">
        <f t="shared" si="2"/>
        <v>0.16068052930056712</v>
      </c>
      <c r="M14" s="11">
        <f t="shared" ref="M14:M22" si="9">L14-L13</f>
        <v>-2.7619287884076388E-2</v>
      </c>
      <c r="N14" s="12">
        <f t="shared" ref="N14:N22" si="10">L14-L$13</f>
        <v>-2.7619287884076388E-2</v>
      </c>
      <c r="O14" s="44">
        <f>SUM('[1]01CNTART'!$AE$25:$AE$26)/2</f>
        <v>32358.5</v>
      </c>
    </row>
    <row r="15" spans="1:15" x14ac:dyDescent="0.25">
      <c r="A15" s="9">
        <v>1990</v>
      </c>
      <c r="B15" s="10">
        <f>9+24/60</f>
        <v>9.4</v>
      </c>
      <c r="C15" s="10">
        <f t="shared" si="3"/>
        <v>0.58333333333333393</v>
      </c>
      <c r="D15" s="10">
        <f t="shared" si="4"/>
        <v>0.28333333333333321</v>
      </c>
      <c r="E15" s="11">
        <f t="shared" si="5"/>
        <v>6.6162570888468872E-2</v>
      </c>
      <c r="F15" s="25">
        <f t="shared" si="6"/>
        <v>3.1078610603290664E-2</v>
      </c>
      <c r="G15" s="25">
        <f t="shared" si="0"/>
        <v>1.5699213332668793</v>
      </c>
      <c r="H15" s="37">
        <f t="shared" si="1"/>
        <v>27.525991295938102</v>
      </c>
      <c r="I15" s="10">
        <f>2+22/60</f>
        <v>2.3666666666666667</v>
      </c>
      <c r="J15" s="10">
        <f t="shared" si="7"/>
        <v>0.95</v>
      </c>
      <c r="K15" s="10">
        <f t="shared" si="8"/>
        <v>0.64999999999999991</v>
      </c>
      <c r="L15" s="11">
        <f t="shared" si="2"/>
        <v>0.25177304964539005</v>
      </c>
      <c r="M15" s="11">
        <f t="shared" si="9"/>
        <v>9.109252034482293E-2</v>
      </c>
      <c r="N15" s="12">
        <f t="shared" si="10"/>
        <v>6.3473232460746543E-2</v>
      </c>
      <c r="O15" s="44">
        <f>SUM('[1]01CNTART'!$AA$25:$AA$26)/2</f>
        <v>32487.5</v>
      </c>
    </row>
    <row r="16" spans="1:15" x14ac:dyDescent="0.25">
      <c r="A16" s="9">
        <v>1992</v>
      </c>
      <c r="B16" s="10">
        <f>9+55/60</f>
        <v>9.9166666666666661</v>
      </c>
      <c r="C16" s="10">
        <f t="shared" si="3"/>
        <v>0.51666666666666572</v>
      </c>
      <c r="D16" s="10">
        <f t="shared" si="4"/>
        <v>0.79999999999999893</v>
      </c>
      <c r="E16" s="11">
        <f t="shared" si="5"/>
        <v>5.4964539007092098E-2</v>
      </c>
      <c r="F16" s="25">
        <f t="shared" si="6"/>
        <v>8.775137111517356E-2</v>
      </c>
      <c r="G16" s="25">
        <f t="shared" si="0"/>
        <v>1.6562113356272927</v>
      </c>
      <c r="H16" s="37">
        <f t="shared" si="1"/>
        <v>26.091864018334611</v>
      </c>
      <c r="I16" s="10">
        <f>2+22/60</f>
        <v>2.3666666666666667</v>
      </c>
      <c r="J16" s="10">
        <f t="shared" si="7"/>
        <v>0</v>
      </c>
      <c r="K16" s="10">
        <f t="shared" si="8"/>
        <v>0.64999999999999991</v>
      </c>
      <c r="L16" s="11">
        <f t="shared" si="2"/>
        <v>0.23865546218487396</v>
      </c>
      <c r="M16" s="11">
        <f t="shared" si="9"/>
        <v>-1.3117587460516084E-2</v>
      </c>
      <c r="N16" s="12">
        <f t="shared" si="10"/>
        <v>5.0355645000230459E-2</v>
      </c>
      <c r="O16" s="44">
        <f>SUM('[1]01CNTART'!$W$25:$W$26)/2</f>
        <v>36020.5</v>
      </c>
    </row>
    <row r="17" spans="1:15" x14ac:dyDescent="0.25">
      <c r="A17" s="9">
        <v>1994</v>
      </c>
      <c r="B17" s="10">
        <f>9+57/60</f>
        <v>9.9499999999999993</v>
      </c>
      <c r="C17" s="10">
        <f t="shared" si="3"/>
        <v>3.3333333333333215E-2</v>
      </c>
      <c r="D17" s="10">
        <f t="shared" si="4"/>
        <v>0.83333333333333215</v>
      </c>
      <c r="E17" s="11">
        <f t="shared" si="5"/>
        <v>3.3613445378151141E-3</v>
      </c>
      <c r="F17" s="25">
        <f t="shared" si="6"/>
        <v>9.1407678244972437E-2</v>
      </c>
      <c r="G17" s="25">
        <f t="shared" si="0"/>
        <v>1.661778432553771</v>
      </c>
      <c r="H17" s="37">
        <f t="shared" si="1"/>
        <v>26.004454088624946</v>
      </c>
      <c r="I17" s="10">
        <f>2+52/60</f>
        <v>2.8666666666666667</v>
      </c>
      <c r="J17" s="10">
        <f t="shared" si="7"/>
        <v>0.5</v>
      </c>
      <c r="K17" s="10">
        <f t="shared" si="8"/>
        <v>1.1499999999999999</v>
      </c>
      <c r="L17" s="11">
        <f t="shared" si="2"/>
        <v>0.28810720268006701</v>
      </c>
      <c r="M17" s="11">
        <f t="shared" si="9"/>
        <v>4.9451740495193047E-2</v>
      </c>
      <c r="N17" s="12">
        <f t="shared" si="10"/>
        <v>9.9807385495423506E-2</v>
      </c>
      <c r="O17" s="44">
        <f>SUM('[1]01CNTART'!$S$25:$S$26)/2</f>
        <v>36166</v>
      </c>
    </row>
    <row r="18" spans="1:15" x14ac:dyDescent="0.25">
      <c r="A18" s="9">
        <v>1996</v>
      </c>
      <c r="B18" s="10">
        <f>10+19/60</f>
        <v>10.316666666666666</v>
      </c>
      <c r="C18" s="10">
        <f t="shared" si="3"/>
        <v>0.36666666666666714</v>
      </c>
      <c r="D18" s="10">
        <f t="shared" si="4"/>
        <v>1.1999999999999993</v>
      </c>
      <c r="E18" s="11">
        <f t="shared" si="5"/>
        <v>3.6850921273031877E-2</v>
      </c>
      <c r="F18" s="25">
        <f t="shared" si="6"/>
        <v>0.13162705667276042</v>
      </c>
      <c r="G18" s="25">
        <f t="shared" si="0"/>
        <v>1.7230164987450323</v>
      </c>
      <c r="H18" s="37">
        <f t="shared" si="1"/>
        <v>25.080224702599502</v>
      </c>
      <c r="I18" s="10">
        <f>3+13/60</f>
        <v>3.2166666666666668</v>
      </c>
      <c r="J18" s="10">
        <f t="shared" si="7"/>
        <v>0.35000000000000009</v>
      </c>
      <c r="K18" s="10">
        <f t="shared" si="8"/>
        <v>1.5</v>
      </c>
      <c r="L18" s="11">
        <f t="shared" si="2"/>
        <v>0.31179321486268174</v>
      </c>
      <c r="M18" s="11">
        <f t="shared" si="9"/>
        <v>2.3686012182614735E-2</v>
      </c>
      <c r="N18" s="12">
        <f t="shared" si="10"/>
        <v>0.12349339767803824</v>
      </c>
      <c r="O18" s="44">
        <f>SUM('[1]01CNTART'!$O$25:$O$26)/2</f>
        <v>36629.5</v>
      </c>
    </row>
    <row r="19" spans="1:15" x14ac:dyDescent="0.25">
      <c r="A19" s="9">
        <v>1998</v>
      </c>
      <c r="B19" s="10">
        <f>10+27/60</f>
        <v>10.45</v>
      </c>
      <c r="C19" s="10">
        <f t="shared" si="3"/>
        <v>0.13333333333333286</v>
      </c>
      <c r="D19" s="10">
        <f t="shared" si="4"/>
        <v>1.3333333333333321</v>
      </c>
      <c r="E19" s="11">
        <f t="shared" si="5"/>
        <v>1.2924071082390907E-2</v>
      </c>
      <c r="F19" s="25">
        <f t="shared" si="6"/>
        <v>0.14625228519195599</v>
      </c>
      <c r="G19" s="25">
        <f t="shared" si="0"/>
        <v>1.7452848864509454</v>
      </c>
      <c r="H19" s="37">
        <f t="shared" si="1"/>
        <v>24.76022183558069</v>
      </c>
      <c r="I19" s="10">
        <f>3+46/60</f>
        <v>3.7666666666666666</v>
      </c>
      <c r="J19" s="10">
        <f t="shared" si="7"/>
        <v>0.54999999999999982</v>
      </c>
      <c r="K19" s="10">
        <f t="shared" si="8"/>
        <v>2.0499999999999998</v>
      </c>
      <c r="L19" s="11">
        <f t="shared" si="2"/>
        <v>0.36044657097288679</v>
      </c>
      <c r="M19" s="11">
        <f t="shared" si="9"/>
        <v>4.8653356110205048E-2</v>
      </c>
      <c r="N19" s="12">
        <f t="shared" si="10"/>
        <v>0.17214675378824329</v>
      </c>
      <c r="O19" s="44">
        <f>SUM('[1]01CNTART'!$K$26:$K$27)/2</f>
        <v>33029.25</v>
      </c>
    </row>
    <row r="20" spans="1:15" x14ac:dyDescent="0.25">
      <c r="A20" s="100">
        <v>2000</v>
      </c>
      <c r="B20" s="101">
        <f>14+56/60</f>
        <v>14.933333333333334</v>
      </c>
      <c r="C20" s="101">
        <f t="shared" si="3"/>
        <v>4.4833333333333343</v>
      </c>
      <c r="D20" s="101">
        <f t="shared" si="4"/>
        <v>5.8166666666666664</v>
      </c>
      <c r="E20" s="102">
        <f t="shared" si="5"/>
        <v>0.42902711323763965</v>
      </c>
      <c r="F20" s="103">
        <f t="shared" si="6"/>
        <v>0.63802559414990856</v>
      </c>
      <c r="G20" s="103">
        <f t="shared" si="0"/>
        <v>2.4940594230622763</v>
      </c>
      <c r="H20" s="104">
        <f t="shared" si="1"/>
        <v>17.326628449675322</v>
      </c>
      <c r="I20" s="101">
        <f>5+16/60</f>
        <v>5.2666666666666666</v>
      </c>
      <c r="J20" s="101">
        <f t="shared" si="7"/>
        <v>1.5</v>
      </c>
      <c r="K20" s="101">
        <f t="shared" si="8"/>
        <v>3.55</v>
      </c>
      <c r="L20" s="102">
        <f t="shared" si="2"/>
        <v>0.3526785714285714</v>
      </c>
      <c r="M20" s="102">
        <f t="shared" si="9"/>
        <v>-7.767999544315396E-3</v>
      </c>
      <c r="N20" s="106">
        <f t="shared" si="10"/>
        <v>0.16437875424392789</v>
      </c>
      <c r="O20" s="44">
        <f>SUM('[1]01CNTART'!$G$25:$G$26)/2</f>
        <v>38017.125</v>
      </c>
    </row>
    <row r="21" spans="1:15" x14ac:dyDescent="0.25">
      <c r="A21" s="9">
        <v>2002</v>
      </c>
      <c r="B21" s="10">
        <f>14+5/60</f>
        <v>14.083333333333334</v>
      </c>
      <c r="C21" s="10">
        <f t="shared" si="3"/>
        <v>-0.84999999999999964</v>
      </c>
      <c r="D21" s="10">
        <f t="shared" si="4"/>
        <v>4.9666666666666668</v>
      </c>
      <c r="E21" s="11">
        <f t="shared" si="5"/>
        <v>-5.6919642857142835E-2</v>
      </c>
      <c r="F21" s="25">
        <f t="shared" si="6"/>
        <v>0.54478976234003651</v>
      </c>
      <c r="G21" s="25">
        <f t="shared" si="0"/>
        <v>2.35209845143708</v>
      </c>
      <c r="H21" s="37">
        <f t="shared" si="1"/>
        <v>18.372377622377623</v>
      </c>
      <c r="I21" s="10">
        <f>4+13/60</f>
        <v>4.2166666666666668</v>
      </c>
      <c r="J21" s="10">
        <f t="shared" si="7"/>
        <v>-1.0499999999999998</v>
      </c>
      <c r="K21" s="10">
        <f t="shared" si="8"/>
        <v>2.5</v>
      </c>
      <c r="L21" s="11">
        <f t="shared" si="2"/>
        <v>0.29940828402366865</v>
      </c>
      <c r="M21" s="11">
        <f t="shared" si="9"/>
        <v>-5.327028740490275E-2</v>
      </c>
      <c r="N21" s="12">
        <f t="shared" si="10"/>
        <v>0.11110846683902514</v>
      </c>
      <c r="O21" s="107">
        <f>SUM('[5]02CNTART'!$E$25:$E$26)/2</f>
        <v>39143.875</v>
      </c>
    </row>
    <row r="22" spans="1:15" x14ac:dyDescent="0.25">
      <c r="A22" s="9">
        <v>2004</v>
      </c>
      <c r="B22" s="10">
        <f>8+42/60</f>
        <v>8.6999999999999993</v>
      </c>
      <c r="C22" s="10">
        <f t="shared" si="3"/>
        <v>-5.3833333333333346</v>
      </c>
      <c r="D22" s="10">
        <f t="shared" si="4"/>
        <v>-0.41666666666666785</v>
      </c>
      <c r="E22" s="11">
        <f t="shared" si="5"/>
        <v>-0.38224852071005927</v>
      </c>
      <c r="F22" s="25">
        <f t="shared" si="6"/>
        <v>-4.5703839122486413E-2</v>
      </c>
      <c r="G22" s="25">
        <f t="shared" si="0"/>
        <v>1.4530122978108349</v>
      </c>
      <c r="H22" s="37">
        <f t="shared" si="1"/>
        <v>29.740726227795196</v>
      </c>
      <c r="I22" s="10">
        <f>1+35/60</f>
        <v>1.5833333333333335</v>
      </c>
      <c r="J22" s="10">
        <f t="shared" si="7"/>
        <v>-2.6333333333333333</v>
      </c>
      <c r="K22" s="10">
        <f t="shared" si="8"/>
        <v>-0.1333333333333333</v>
      </c>
      <c r="L22" s="11">
        <f t="shared" si="2"/>
        <v>0.18199233716475099</v>
      </c>
      <c r="M22" s="11">
        <f t="shared" si="9"/>
        <v>-0.11741594685891765</v>
      </c>
      <c r="N22" s="12">
        <f t="shared" si="10"/>
        <v>-6.3074800198925085E-3</v>
      </c>
      <c r="O22" s="107">
        <f>SUM('[2]05CNTART'!$G$25:$G$26)/2</f>
        <v>39327.5</v>
      </c>
    </row>
    <row r="23" spans="1:15" x14ac:dyDescent="0.25">
      <c r="A23" s="9">
        <v>2006</v>
      </c>
      <c r="B23" s="10">
        <f t="shared" ref="B23" si="11">10+25/60</f>
        <v>10.416666666666666</v>
      </c>
      <c r="C23" s="10">
        <f t="shared" ref="C23:C24" si="12">B23-B22</f>
        <v>1.7166666666666668</v>
      </c>
      <c r="D23" s="10">
        <f t="shared" ref="D23:D26" si="13">B23-B$13</f>
        <v>1.2999999999999989</v>
      </c>
      <c r="E23" s="11">
        <f t="shared" ref="E23:E24" si="14">(B23-B22)/B22</f>
        <v>0.19731800766283528</v>
      </c>
      <c r="F23" s="25">
        <f t="shared" ref="F23:F26" si="15">(B23-B$13)/B$13</f>
        <v>0.1425959780621571</v>
      </c>
      <c r="G23" s="25">
        <f t="shared" ref="G23:G26" si="16">B23/F$9</f>
        <v>1.7397177895244671</v>
      </c>
      <c r="H23" s="37">
        <f t="shared" ref="H23:H26" si="17">(F$5/B23)*60/5280</f>
        <v>24.839454545454547</v>
      </c>
      <c r="I23" s="10">
        <f t="shared" ref="I23" si="18">1+35/60</f>
        <v>1.5833333333333335</v>
      </c>
      <c r="J23" s="10">
        <f t="shared" ref="J23:J24" si="19">I23-I22</f>
        <v>0</v>
      </c>
      <c r="K23" s="10">
        <f t="shared" ref="K23:K26" si="20">I23-I$13</f>
        <v>-0.1333333333333333</v>
      </c>
      <c r="L23" s="11">
        <f t="shared" ref="L23:L26" si="21">I23/B23</f>
        <v>0.15200000000000002</v>
      </c>
      <c r="M23" s="11">
        <f t="shared" ref="M23:M24" si="22">L23-L22</f>
        <v>-2.9992337164750971E-2</v>
      </c>
      <c r="N23" s="12">
        <f t="shared" ref="N23:N26" si="23">L23-L$13</f>
        <v>-3.6299817184643479E-2</v>
      </c>
      <c r="O23" s="107">
        <f>SUM('[6]06CNTART'!$G$25:$G$26)/2</f>
        <v>38567.5</v>
      </c>
    </row>
    <row r="24" spans="1:15" x14ac:dyDescent="0.25">
      <c r="A24" s="9">
        <v>2008</v>
      </c>
      <c r="B24" s="10">
        <v>9</v>
      </c>
      <c r="C24" s="10">
        <f t="shared" si="12"/>
        <v>-1.4166666666666661</v>
      </c>
      <c r="D24" s="10">
        <f t="shared" si="13"/>
        <v>-0.11666666666666714</v>
      </c>
      <c r="E24" s="11">
        <f t="shared" si="14"/>
        <v>-0.13599999999999995</v>
      </c>
      <c r="F24" s="25">
        <f t="shared" si="15"/>
        <v>-1.2797074954296212E-2</v>
      </c>
      <c r="G24" s="25">
        <f t="shared" si="16"/>
        <v>1.5031161701491396</v>
      </c>
      <c r="H24" s="37">
        <f t="shared" si="17"/>
        <v>28.749368686868685</v>
      </c>
      <c r="I24" s="10">
        <f>2+9/60</f>
        <v>2.15</v>
      </c>
      <c r="J24" s="10">
        <f t="shared" si="19"/>
        <v>0.56666666666666643</v>
      </c>
      <c r="K24" s="10">
        <f t="shared" si="20"/>
        <v>0.43333333333333313</v>
      </c>
      <c r="L24" s="11">
        <f t="shared" si="21"/>
        <v>0.23888888888888887</v>
      </c>
      <c r="M24" s="11">
        <f t="shared" si="22"/>
        <v>8.6888888888888849E-2</v>
      </c>
      <c r="N24" s="12">
        <f t="shared" si="23"/>
        <v>5.058907170424537E-2</v>
      </c>
      <c r="O24" s="121">
        <f>SUM('[3]13CNTART'!$O$25:$O$26)/2</f>
        <v>37721.125</v>
      </c>
    </row>
    <row r="25" spans="1:15" x14ac:dyDescent="0.25">
      <c r="A25" s="100">
        <v>2010</v>
      </c>
      <c r="B25" s="101"/>
      <c r="C25" s="101"/>
      <c r="D25" s="101"/>
      <c r="E25" s="102"/>
      <c r="F25" s="103"/>
      <c r="G25" s="103"/>
      <c r="H25" s="104"/>
      <c r="I25" s="101"/>
      <c r="J25" s="101"/>
      <c r="K25" s="101"/>
      <c r="L25" s="102"/>
      <c r="M25" s="102"/>
      <c r="N25" s="106"/>
      <c r="O25" s="114">
        <f>AVERAGE('[4]16 AAWDT CNTART'!$Q$25,'[4]16 AAWDT CNTART'!$Q$26)</f>
        <v>38490.625</v>
      </c>
    </row>
    <row r="26" spans="1:15" x14ac:dyDescent="0.25">
      <c r="A26" s="100">
        <v>2012</v>
      </c>
      <c r="B26" s="101">
        <f>9+34/60</f>
        <v>9.5666666666666664</v>
      </c>
      <c r="C26" s="101">
        <f>B26-B24</f>
        <v>0.56666666666666643</v>
      </c>
      <c r="D26" s="101">
        <f t="shared" si="13"/>
        <v>0.44999999999999929</v>
      </c>
      <c r="E26" s="102">
        <f>(B26-B24)/B24</f>
        <v>6.2962962962962943E-2</v>
      </c>
      <c r="F26" s="103">
        <f t="shared" si="15"/>
        <v>4.936014625228511E-2</v>
      </c>
      <c r="G26" s="103">
        <f t="shared" si="16"/>
        <v>1.5977568178992707</v>
      </c>
      <c r="H26" s="104">
        <f t="shared" si="17"/>
        <v>27.046444409249286</v>
      </c>
      <c r="I26" s="101">
        <f>2+34/60</f>
        <v>2.5666666666666664</v>
      </c>
      <c r="J26" s="101">
        <f>I26-I24</f>
        <v>0.41666666666666652</v>
      </c>
      <c r="K26" s="101">
        <f t="shared" si="20"/>
        <v>0.84999999999999964</v>
      </c>
      <c r="L26" s="102">
        <f t="shared" si="21"/>
        <v>0.26829268292682923</v>
      </c>
      <c r="M26" s="102">
        <f>L26-L24</f>
        <v>2.9403794037940356E-2</v>
      </c>
      <c r="N26" s="106">
        <f t="shared" si="23"/>
        <v>7.9992865742185726E-2</v>
      </c>
      <c r="O26" s="114">
        <f>AVERAGE('[4]16 AAWDT CNTART'!$M$25:$M$26)</f>
        <v>34118.198523046296</v>
      </c>
    </row>
    <row r="27" spans="1:15" x14ac:dyDescent="0.25">
      <c r="A27" s="9">
        <v>2014</v>
      </c>
      <c r="B27" s="10"/>
      <c r="C27" s="10"/>
      <c r="D27" s="10"/>
      <c r="E27" s="11"/>
      <c r="F27" s="25"/>
      <c r="G27" s="25"/>
      <c r="H27" s="37"/>
      <c r="I27" s="10"/>
      <c r="J27" s="10"/>
      <c r="K27" s="10"/>
      <c r="L27" s="11"/>
      <c r="M27" s="11"/>
      <c r="N27" s="12"/>
      <c r="O27" s="121">
        <f>AVERAGE('[4]16 AAWDT CNTART'!$I$25,'[4]16 AAWDT CNTART'!$I$26)</f>
        <v>36726.135732113413</v>
      </c>
    </row>
    <row r="28" spans="1:15" ht="13.8" thickBot="1" x14ac:dyDescent="0.3">
      <c r="A28" s="13">
        <v>2016</v>
      </c>
      <c r="B28" s="14">
        <f>11+58/60</f>
        <v>11.966666666666667</v>
      </c>
      <c r="C28" s="14">
        <f t="shared" ref="C28" si="24">B28-B26</f>
        <v>2.4000000000000004</v>
      </c>
      <c r="D28" s="14">
        <f t="shared" ref="D28" si="25">B28-B$13</f>
        <v>2.8499999999999996</v>
      </c>
      <c r="E28" s="15">
        <f t="shared" ref="E28" si="26">(B28-B26)/B26</f>
        <v>0.25087108013937287</v>
      </c>
      <c r="F28" s="26">
        <f t="shared" ref="F28" si="27">(B28-B$13)/B$13</f>
        <v>0.31261425959780614</v>
      </c>
      <c r="G28" s="26">
        <f t="shared" ref="G28" si="28">B28/F$9</f>
        <v>1.998587796605708</v>
      </c>
      <c r="H28" s="99">
        <f t="shared" ref="H28" si="29">(F$5/B28)*60/5280</f>
        <v>21.62208787034692</v>
      </c>
      <c r="I28" s="14">
        <f>3+52/60</f>
        <v>3.8666666666666667</v>
      </c>
      <c r="J28" s="14">
        <f t="shared" ref="J28" si="30">I28-I26</f>
        <v>1.3000000000000003</v>
      </c>
      <c r="K28" s="14">
        <f t="shared" ref="K28" si="31">I28-I$13</f>
        <v>2.15</v>
      </c>
      <c r="L28" s="15">
        <f t="shared" ref="L28" si="32">I28/B28</f>
        <v>0.32311977715877438</v>
      </c>
      <c r="M28" s="15">
        <f t="shared" ref="M28" si="33">L28-L26</f>
        <v>5.482709423194515E-2</v>
      </c>
      <c r="N28" s="16">
        <f t="shared" ref="N28" si="34">L28-L$13</f>
        <v>0.13481995997413088</v>
      </c>
      <c r="O28" s="150">
        <f>AVERAGE('[4]16 AAWDT CNTART'!$E$25:$E$26)</f>
        <v>38240.958078644806</v>
      </c>
    </row>
    <row r="29" spans="1:15" ht="13.8" thickTop="1" x14ac:dyDescent="0.25"/>
    <row r="30" spans="1:15" x14ac:dyDescent="0.25">
      <c r="A30" t="s">
        <v>14</v>
      </c>
    </row>
    <row r="31" spans="1:15" x14ac:dyDescent="0.25">
      <c r="A31" s="19" t="s">
        <v>17</v>
      </c>
    </row>
    <row r="32" spans="1:15" x14ac:dyDescent="0.25">
      <c r="A32" s="19" t="s">
        <v>73</v>
      </c>
    </row>
  </sheetData>
  <mergeCells count="2">
    <mergeCell ref="I11:K11"/>
    <mergeCell ref="A11:A12"/>
  </mergeCells>
  <phoneticPr fontId="7" type="noConversion"/>
  <pageMargins left="0.75" right="0.75" top="1" bottom="1" header="0.5" footer="0.5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I33" sqref="I33"/>
    </sheetView>
  </sheetViews>
  <sheetFormatPr defaultRowHeight="13.2" x14ac:dyDescent="0.25"/>
  <cols>
    <col min="15" max="15" width="9.6640625" customWidth="1"/>
  </cols>
  <sheetData>
    <row r="1" spans="1:15" x14ac:dyDescent="0.25">
      <c r="A1" t="s">
        <v>189</v>
      </c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18</v>
      </c>
      <c r="F4" t="s">
        <v>190</v>
      </c>
    </row>
    <row r="5" spans="1:15" x14ac:dyDescent="0.25">
      <c r="A5" t="s">
        <v>23</v>
      </c>
      <c r="F5" s="36">
        <f>Distances!K28</f>
        <v>18592.5</v>
      </c>
      <c r="G5" t="s">
        <v>25</v>
      </c>
      <c r="H5" s="22">
        <f>F5/5280</f>
        <v>3.5213068181818183</v>
      </c>
      <c r="I5" t="s">
        <v>26</v>
      </c>
    </row>
    <row r="6" spans="1:15" x14ac:dyDescent="0.25">
      <c r="A6" t="s">
        <v>45</v>
      </c>
      <c r="B6" s="36"/>
      <c r="F6" s="36">
        <f>COUNT(Distances!K4:K27)-1</f>
        <v>4</v>
      </c>
    </row>
    <row r="7" spans="1:15" x14ac:dyDescent="0.25">
      <c r="A7" t="s">
        <v>46</v>
      </c>
      <c r="B7" s="36"/>
      <c r="F7" s="41">
        <f>Distances!F30</f>
        <v>2.3188914995937546</v>
      </c>
    </row>
    <row r="8" spans="1:15" x14ac:dyDescent="0.25">
      <c r="A8" t="s">
        <v>179</v>
      </c>
      <c r="B8" s="36"/>
      <c r="F8" s="41">
        <v>45</v>
      </c>
    </row>
    <row r="9" spans="1:15" x14ac:dyDescent="0.25">
      <c r="A9" t="s">
        <v>180</v>
      </c>
      <c r="B9" s="36"/>
      <c r="F9" s="22">
        <f>F5/(F8*(5280/60))</f>
        <v>4.6950757575757578</v>
      </c>
    </row>
    <row r="10" spans="1:15" ht="13.8" thickBot="1" x14ac:dyDescent="0.3"/>
    <row r="11" spans="1:15" ht="13.8" thickTop="1" x14ac:dyDescent="0.25">
      <c r="A11" s="159" t="s">
        <v>3</v>
      </c>
      <c r="B11" s="84" t="s">
        <v>5</v>
      </c>
      <c r="C11" s="96"/>
      <c r="D11" s="96"/>
      <c r="E11" s="96"/>
      <c r="F11" s="96"/>
      <c r="G11" s="96"/>
      <c r="H11" s="97"/>
      <c r="I11" s="163" t="s">
        <v>8</v>
      </c>
      <c r="J11" s="164"/>
      <c r="K11" s="165"/>
      <c r="L11" s="17" t="s">
        <v>10</v>
      </c>
      <c r="M11" s="17"/>
      <c r="N11" s="18"/>
      <c r="O11" s="42"/>
    </row>
    <row r="12" spans="1:15" ht="66" x14ac:dyDescent="0.25">
      <c r="A12" s="160"/>
      <c r="B12" s="1" t="s">
        <v>4</v>
      </c>
      <c r="C12" s="2" t="s">
        <v>6</v>
      </c>
      <c r="D12" s="116" t="s">
        <v>306</v>
      </c>
      <c r="E12" s="2" t="s">
        <v>6</v>
      </c>
      <c r="F12" s="115" t="s">
        <v>195</v>
      </c>
      <c r="G12" s="32" t="s">
        <v>152</v>
      </c>
      <c r="H12" s="33" t="s">
        <v>24</v>
      </c>
      <c r="I12" s="2" t="s">
        <v>9</v>
      </c>
      <c r="J12" s="2" t="s">
        <v>6</v>
      </c>
      <c r="K12" s="116" t="s">
        <v>195</v>
      </c>
      <c r="L12" s="2" t="s">
        <v>11</v>
      </c>
      <c r="M12" s="2" t="s">
        <v>6</v>
      </c>
      <c r="N12" s="117" t="s">
        <v>195</v>
      </c>
      <c r="O12" s="45" t="s">
        <v>71</v>
      </c>
    </row>
    <row r="13" spans="1:15" x14ac:dyDescent="0.25">
      <c r="A13" s="4">
        <v>2006</v>
      </c>
      <c r="B13" s="5">
        <f>7+4/60</f>
        <v>7.0666666666666664</v>
      </c>
      <c r="C13" s="6"/>
      <c r="D13" s="6"/>
      <c r="E13" s="7"/>
      <c r="F13" s="24"/>
      <c r="G13" s="25">
        <f>B13/F$9</f>
        <v>1.5051230334812422</v>
      </c>
      <c r="H13" s="35">
        <f>(F$5/B13)*60/5280</f>
        <v>29.897888078902227</v>
      </c>
      <c r="I13" s="5">
        <f>1+38/60</f>
        <v>1.6333333333333333</v>
      </c>
      <c r="J13" s="6"/>
      <c r="K13" s="6"/>
      <c r="L13" s="7">
        <f>I13/B13</f>
        <v>0.23113207547169812</v>
      </c>
      <c r="M13" s="7"/>
      <c r="N13" s="8"/>
      <c r="O13" s="44">
        <f>SUM('[6]06CNTART'!$E$18)/1</f>
        <v>51689.333333333336</v>
      </c>
    </row>
    <row r="14" spans="1:15" x14ac:dyDescent="0.25">
      <c r="A14" s="9">
        <f t="shared" ref="A14:A23" si="0">A13+2</f>
        <v>2008</v>
      </c>
      <c r="B14" s="10">
        <f>6+21/60</f>
        <v>6.35</v>
      </c>
      <c r="C14" s="10">
        <f t="shared" ref="C14" si="1">B14-B13</f>
        <v>-0.71666666666666679</v>
      </c>
      <c r="D14" s="10">
        <f>B14-B$13</f>
        <v>-0.71666666666666679</v>
      </c>
      <c r="E14" s="11">
        <f t="shared" ref="E14" si="2">(B14-B13)/B13</f>
        <v>-0.10141509433962266</v>
      </c>
      <c r="F14" s="25">
        <f t="shared" ref="F14" si="3">(B14-B$13)/B$13</f>
        <v>-0.10141509433962266</v>
      </c>
      <c r="G14" s="25">
        <f t="shared" ref="G14" si="4">B14/F$9</f>
        <v>1.352480839048003</v>
      </c>
      <c r="H14" s="37">
        <f t="shared" ref="H14" si="5">(F$5/B14)*60/5280</f>
        <v>33.272190408017181</v>
      </c>
      <c r="I14" s="10">
        <f>1+4/60</f>
        <v>1.0666666666666667</v>
      </c>
      <c r="J14" s="10">
        <f t="shared" ref="J14" si="6">I14-I13</f>
        <v>-0.56666666666666665</v>
      </c>
      <c r="K14" s="10">
        <f t="shared" ref="K14" si="7">I14-I$13</f>
        <v>-0.56666666666666665</v>
      </c>
      <c r="L14" s="11">
        <f t="shared" ref="L14" si="8">I14/B14</f>
        <v>0.16797900262467191</v>
      </c>
      <c r="M14" s="11">
        <f t="shared" ref="M14" si="9">L14-L13</f>
        <v>-6.3153072847026204E-2</v>
      </c>
      <c r="N14" s="12">
        <f t="shared" ref="N14" si="10">L14-L$13</f>
        <v>-6.3153072847026204E-2</v>
      </c>
      <c r="O14" s="107">
        <f>'[3]13CNTART'!$O$18</f>
        <v>47087.5</v>
      </c>
    </row>
    <row r="15" spans="1:15" x14ac:dyDescent="0.25">
      <c r="A15" s="9">
        <f t="shared" si="0"/>
        <v>2010</v>
      </c>
      <c r="B15" s="10"/>
      <c r="C15" s="10"/>
      <c r="D15" s="10"/>
      <c r="E15" s="11"/>
      <c r="F15" s="25"/>
      <c r="G15" s="25"/>
      <c r="H15" s="37"/>
      <c r="I15" s="10"/>
      <c r="J15" s="10"/>
      <c r="K15" s="10"/>
      <c r="L15" s="11"/>
      <c r="M15" s="11"/>
      <c r="N15" s="12"/>
      <c r="O15" s="44">
        <f>'[4]16 AAWDT CNTART'!$Q$18</f>
        <v>46446</v>
      </c>
    </row>
    <row r="16" spans="1:15" x14ac:dyDescent="0.25">
      <c r="A16" s="9">
        <f t="shared" si="0"/>
        <v>2012</v>
      </c>
      <c r="B16" s="10">
        <f>6+38/60</f>
        <v>6.6333333333333329</v>
      </c>
      <c r="C16" s="10">
        <f>B16-B14</f>
        <v>0.28333333333333321</v>
      </c>
      <c r="D16" s="10">
        <f>B16-B$13</f>
        <v>-0.43333333333333357</v>
      </c>
      <c r="E16" s="11">
        <f>(B16-B14)/B14</f>
        <v>4.4619422572178463E-2</v>
      </c>
      <c r="F16" s="25">
        <f t="shared" ref="F16" si="11">(B16-B$13)/B$13</f>
        <v>-6.1320754716981167E-2</v>
      </c>
      <c r="G16" s="25">
        <f t="shared" ref="G16" si="12">B16/F$9</f>
        <v>1.4128277531262605</v>
      </c>
      <c r="H16" s="37">
        <f t="shared" ref="H16" si="13">(F$5/B16)*60/5280</f>
        <v>31.851016445865696</v>
      </c>
      <c r="I16" s="10">
        <f>1+7/60</f>
        <v>1.1166666666666667</v>
      </c>
      <c r="J16" s="10">
        <f>I16-I14</f>
        <v>5.0000000000000044E-2</v>
      </c>
      <c r="K16" s="10">
        <f t="shared" ref="K16" si="14">I16-I$13</f>
        <v>-0.51666666666666661</v>
      </c>
      <c r="L16" s="11">
        <f t="shared" ref="L16" si="15">I16/B16</f>
        <v>0.16834170854271358</v>
      </c>
      <c r="M16" s="11">
        <f>L16-L14</f>
        <v>3.6270591804166141E-4</v>
      </c>
      <c r="N16" s="12">
        <f t="shared" ref="N16" si="16">L16-L$13</f>
        <v>-6.2790366928984542E-2</v>
      </c>
      <c r="O16" s="107">
        <f>'[3]13CNTART'!$G$18</f>
        <v>45911.083333333336</v>
      </c>
    </row>
    <row r="17" spans="1:15" x14ac:dyDescent="0.25">
      <c r="A17" s="9">
        <f t="shared" si="0"/>
        <v>2014</v>
      </c>
      <c r="B17" s="10"/>
      <c r="C17" s="10"/>
      <c r="D17" s="10"/>
      <c r="E17" s="11"/>
      <c r="F17" s="25"/>
      <c r="G17" s="25"/>
      <c r="H17" s="37"/>
      <c r="I17" s="10"/>
      <c r="J17" s="10"/>
      <c r="K17" s="10"/>
      <c r="L17" s="11"/>
      <c r="M17" s="11"/>
      <c r="N17" s="12"/>
      <c r="O17" s="44">
        <f>'[4]16 AAWDT CNTART'!$I$18</f>
        <v>50098.469754295045</v>
      </c>
    </row>
    <row r="18" spans="1:15" x14ac:dyDescent="0.25">
      <c r="A18" s="9">
        <f t="shared" si="0"/>
        <v>2016</v>
      </c>
      <c r="B18" s="10">
        <f>8+6/60</f>
        <v>8.1</v>
      </c>
      <c r="C18" s="10">
        <f>B18-B16</f>
        <v>1.4666666666666668</v>
      </c>
      <c r="D18" s="10">
        <f>B18-B$13</f>
        <v>1.0333333333333332</v>
      </c>
      <c r="E18" s="11">
        <f>(B18-B16)/B16</f>
        <v>0.221105527638191</v>
      </c>
      <c r="F18" s="25">
        <f t="shared" ref="F18" si="17">(B18-B$13)/B$13</f>
        <v>0.14622641509433962</v>
      </c>
      <c r="G18" s="25">
        <f t="shared" ref="G18" si="18">B18/F$9</f>
        <v>1.7252117789431221</v>
      </c>
      <c r="H18" s="37">
        <f t="shared" ref="H18" si="19">(F$5/B18)*60/5280</f>
        <v>26.083754208754208</v>
      </c>
      <c r="I18" s="10">
        <f>2+19/60</f>
        <v>2.3166666666666664</v>
      </c>
      <c r="J18" s="10">
        <f>I18-I16</f>
        <v>1.1999999999999997</v>
      </c>
      <c r="K18" s="10">
        <f t="shared" ref="K18" si="20">I18-I$13</f>
        <v>0.68333333333333313</v>
      </c>
      <c r="L18" s="11">
        <f>I18/B18</f>
        <v>0.28600823045267487</v>
      </c>
      <c r="M18" s="11">
        <f>L18-L16</f>
        <v>0.1176665219099613</v>
      </c>
      <c r="N18" s="12">
        <f t="shared" ref="N18" si="21">L18-L$13</f>
        <v>5.4876154980976755E-2</v>
      </c>
      <c r="O18" s="107">
        <f>AVERAGE('[4]16 AAWDT CNTART'!$E$18)</f>
        <v>52778.644670927584</v>
      </c>
    </row>
    <row r="19" spans="1:15" x14ac:dyDescent="0.25">
      <c r="A19" s="9">
        <f t="shared" si="0"/>
        <v>2018</v>
      </c>
      <c r="B19" s="10"/>
      <c r="C19" s="10"/>
      <c r="D19" s="10"/>
      <c r="E19" s="11"/>
      <c r="F19" s="25"/>
      <c r="G19" s="25"/>
      <c r="H19" s="37"/>
      <c r="I19" s="10"/>
      <c r="J19" s="10"/>
      <c r="K19" s="10"/>
      <c r="L19" s="11"/>
      <c r="M19" s="11"/>
      <c r="N19" s="12"/>
      <c r="O19" s="44"/>
    </row>
    <row r="20" spans="1:15" x14ac:dyDescent="0.25">
      <c r="A20" s="9">
        <f t="shared" si="0"/>
        <v>2020</v>
      </c>
      <c r="B20" s="101"/>
      <c r="C20" s="101"/>
      <c r="D20" s="101"/>
      <c r="E20" s="102"/>
      <c r="F20" s="103"/>
      <c r="G20" s="103"/>
      <c r="H20" s="104"/>
      <c r="I20" s="101"/>
      <c r="J20" s="101"/>
      <c r="K20" s="101"/>
      <c r="L20" s="102"/>
      <c r="M20" s="102"/>
      <c r="N20" s="106"/>
      <c r="O20" s="44"/>
    </row>
    <row r="21" spans="1:15" x14ac:dyDescent="0.25">
      <c r="A21" s="9">
        <f t="shared" si="0"/>
        <v>2022</v>
      </c>
      <c r="B21" s="10"/>
      <c r="C21" s="10"/>
      <c r="D21" s="10"/>
      <c r="E21" s="11"/>
      <c r="F21" s="25"/>
      <c r="G21" s="25"/>
      <c r="H21" s="37"/>
      <c r="I21" s="10"/>
      <c r="J21" s="10"/>
      <c r="K21" s="10"/>
      <c r="L21" s="11"/>
      <c r="M21" s="11"/>
      <c r="N21" s="12"/>
      <c r="O21" s="107"/>
    </row>
    <row r="22" spans="1:15" x14ac:dyDescent="0.25">
      <c r="A22" s="9">
        <f t="shared" si="0"/>
        <v>2024</v>
      </c>
      <c r="B22" s="10"/>
      <c r="C22" s="10"/>
      <c r="D22" s="10"/>
      <c r="E22" s="11"/>
      <c r="F22" s="25"/>
      <c r="G22" s="25"/>
      <c r="H22" s="37"/>
      <c r="I22" s="10"/>
      <c r="J22" s="10"/>
      <c r="K22" s="10"/>
      <c r="L22" s="11"/>
      <c r="M22" s="11"/>
      <c r="N22" s="12"/>
      <c r="O22" s="107"/>
    </row>
    <row r="23" spans="1:15" ht="13.8" thickBot="1" x14ac:dyDescent="0.3">
      <c r="A23" s="13">
        <f t="shared" si="0"/>
        <v>2026</v>
      </c>
      <c r="B23" s="14"/>
      <c r="C23" s="14"/>
      <c r="D23" s="14"/>
      <c r="E23" s="15"/>
      <c r="F23" s="26"/>
      <c r="G23" s="26"/>
      <c r="H23" s="99"/>
      <c r="I23" s="14"/>
      <c r="J23" s="14"/>
      <c r="K23" s="14"/>
      <c r="L23" s="15"/>
      <c r="M23" s="15"/>
      <c r="N23" s="16"/>
      <c r="O23" s="108"/>
    </row>
    <row r="24" spans="1:15" ht="13.8" thickTop="1" x14ac:dyDescent="0.25"/>
    <row r="25" spans="1:15" x14ac:dyDescent="0.25">
      <c r="A25" t="s">
        <v>14</v>
      </c>
    </row>
    <row r="26" spans="1:15" x14ac:dyDescent="0.25">
      <c r="A26" s="19" t="s">
        <v>193</v>
      </c>
    </row>
  </sheetData>
  <mergeCells count="2">
    <mergeCell ref="I11:K11"/>
    <mergeCell ref="A11:A12"/>
  </mergeCells>
  <phoneticPr fontId="7" type="noConversion"/>
  <pageMargins left="0.75" right="0.75" top="1" bottom="1" header="0.5" footer="0.5"/>
  <pageSetup paperSize="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0"/>
  <sheetViews>
    <sheetView topLeftCell="A11" workbookViewId="0">
      <selection activeCell="O54" sqref="O54"/>
    </sheetView>
  </sheetViews>
  <sheetFormatPr defaultRowHeight="13.2" x14ac:dyDescent="0.25"/>
  <cols>
    <col min="3" max="3" width="11.5546875" customWidth="1"/>
    <col min="4" max="5" width="9.88671875" customWidth="1"/>
    <col min="6" max="6" width="10.6640625" customWidth="1"/>
  </cols>
  <sheetData>
    <row r="3" spans="1:11" x14ac:dyDescent="0.25">
      <c r="C3" t="s">
        <v>187</v>
      </c>
      <c r="K3" s="119" t="s">
        <v>305</v>
      </c>
    </row>
    <row r="4" spans="1:11" ht="39.6" x14ac:dyDescent="0.25">
      <c r="B4" s="20" t="s">
        <v>188</v>
      </c>
      <c r="C4" s="21" t="str">
        <f>Arapahoe!A$1</f>
        <v>Arapahoe Avenue</v>
      </c>
      <c r="D4" t="str">
        <f>Broadway!A$1</f>
        <v>Broadway</v>
      </c>
      <c r="E4" s="20" t="str">
        <f>Valmont!A$1</f>
        <v>Edgewood/Valmont</v>
      </c>
      <c r="F4" s="21" t="str">
        <f>'28th'!A$1</f>
        <v>28th Street</v>
      </c>
      <c r="G4" s="20" t="str">
        <f>Foothills!A$1</f>
        <v>Foothills Parkway</v>
      </c>
      <c r="H4" s="144" t="s">
        <v>297</v>
      </c>
    </row>
    <row r="5" spans="1:11" ht="66" x14ac:dyDescent="0.25">
      <c r="A5" t="s">
        <v>3</v>
      </c>
      <c r="C5" s="21" t="str">
        <f>Arapahoe!E$4</f>
        <v>9th Street to 55th Street</v>
      </c>
      <c r="D5" s="20" t="str">
        <f>Broadway!E$4</f>
        <v>Greenbriar to Violet</v>
      </c>
      <c r="E5" s="20" t="str">
        <f>Valmont!F$4</f>
        <v>9th Street to 55th Street</v>
      </c>
      <c r="F5" s="21" t="str">
        <f>'28th'!F$4</f>
        <v>Table Mesa to Kalmia</v>
      </c>
      <c r="G5" s="20" t="str">
        <f>Foothills!F$4</f>
        <v>South Boulder Road to Diagonal Highway</v>
      </c>
      <c r="H5" s="119" t="s">
        <v>298</v>
      </c>
    </row>
    <row r="6" spans="1:11" x14ac:dyDescent="0.25">
      <c r="A6">
        <v>1986</v>
      </c>
      <c r="B6" s="98">
        <v>1</v>
      </c>
      <c r="D6" s="98">
        <f>Broadway!G$13</f>
        <v>1.2724936082014675</v>
      </c>
      <c r="E6" s="98"/>
      <c r="F6" s="98">
        <f>'28th'!G$13</f>
        <v>1.5226010093918139</v>
      </c>
    </row>
    <row r="7" spans="1:11" x14ac:dyDescent="0.25">
      <c r="A7">
        <f t="shared" ref="A7:A36" si="0">A6+1</f>
        <v>1987</v>
      </c>
      <c r="B7" s="98">
        <v>1</v>
      </c>
      <c r="C7" s="98">
        <f>Arapahoe!G$13</f>
        <v>1.7552636760769842</v>
      </c>
      <c r="E7" s="98">
        <f>Valmont!G$13</f>
        <v>1.6629552546271318</v>
      </c>
    </row>
    <row r="8" spans="1:11" x14ac:dyDescent="0.25">
      <c r="A8">
        <f t="shared" si="0"/>
        <v>1988</v>
      </c>
      <c r="B8" s="98">
        <v>1</v>
      </c>
      <c r="D8" s="98">
        <f>Broadway!G$14</f>
        <v>1.3288121052151689</v>
      </c>
      <c r="E8" s="98"/>
      <c r="F8" s="98">
        <f>'28th'!G$14</f>
        <v>1.4724971370535089</v>
      </c>
    </row>
    <row r="9" spans="1:11" x14ac:dyDescent="0.25">
      <c r="A9">
        <f t="shared" si="0"/>
        <v>1989</v>
      </c>
      <c r="B9" s="98">
        <v>1</v>
      </c>
      <c r="C9" s="98">
        <f>Arapahoe!G$14</f>
        <v>1.9606327350695381</v>
      </c>
      <c r="E9" s="98">
        <f>Valmont!G$14</f>
        <v>1.5802078824065202</v>
      </c>
    </row>
    <row r="10" spans="1:11" x14ac:dyDescent="0.25">
      <c r="A10">
        <f t="shared" si="0"/>
        <v>1990</v>
      </c>
      <c r="B10" s="98">
        <v>1</v>
      </c>
      <c r="D10" s="98">
        <f>Broadway!G$15</f>
        <v>1.3242457405924364</v>
      </c>
      <c r="E10" s="98"/>
      <c r="F10" s="98">
        <f>'28th'!G$15</f>
        <v>1.5699213332668793</v>
      </c>
    </row>
    <row r="11" spans="1:11" x14ac:dyDescent="0.25">
      <c r="A11">
        <f t="shared" si="0"/>
        <v>1991</v>
      </c>
      <c r="B11" s="98">
        <v>1</v>
      </c>
      <c r="C11" s="98">
        <f>Arapahoe!G$15</f>
        <v>1.9381704942422273</v>
      </c>
      <c r="E11" s="98">
        <f>Valmont!G$15</f>
        <v>1.5374995612603979</v>
      </c>
    </row>
    <row r="12" spans="1:11" x14ac:dyDescent="0.25">
      <c r="A12">
        <f t="shared" si="0"/>
        <v>1992</v>
      </c>
      <c r="B12" s="98">
        <v>1</v>
      </c>
      <c r="D12" s="98">
        <f>Broadway!G$16</f>
        <v>1.3501218067879208</v>
      </c>
      <c r="E12" s="98"/>
      <c r="F12" s="98">
        <f>'28th'!G$16</f>
        <v>1.6562113356272927</v>
      </c>
    </row>
    <row r="13" spans="1:11" x14ac:dyDescent="0.25">
      <c r="A13">
        <f t="shared" si="0"/>
        <v>1993</v>
      </c>
      <c r="B13" s="98">
        <v>1</v>
      </c>
      <c r="C13" s="98">
        <f>Arapahoe!G$16</f>
        <v>2.1274950955009881</v>
      </c>
      <c r="E13" s="98">
        <f>Valmont!G$16</f>
        <v>1.638931823982438</v>
      </c>
    </row>
    <row r="14" spans="1:11" x14ac:dyDescent="0.25">
      <c r="A14">
        <f t="shared" si="0"/>
        <v>1994</v>
      </c>
      <c r="B14" s="98">
        <v>1</v>
      </c>
      <c r="C14" s="22"/>
      <c r="D14" s="98">
        <f>Broadway!G$17</f>
        <v>1.4033960607198004</v>
      </c>
      <c r="E14" s="98"/>
      <c r="F14" s="98">
        <f>'28th'!G$17</f>
        <v>1.661778432553771</v>
      </c>
    </row>
    <row r="15" spans="1:11" x14ac:dyDescent="0.25">
      <c r="A15">
        <f t="shared" si="0"/>
        <v>1995</v>
      </c>
      <c r="B15" s="98">
        <v>1</v>
      </c>
      <c r="C15" s="98">
        <f>Arapahoe!G$17</f>
        <v>2.0697350476593321</v>
      </c>
      <c r="D15" s="22"/>
      <c r="E15" s="98">
        <f>Valmont!G$17</f>
        <v>1.6442703641257035</v>
      </c>
      <c r="F15" s="98"/>
    </row>
    <row r="16" spans="1:11" x14ac:dyDescent="0.25">
      <c r="A16">
        <f t="shared" si="0"/>
        <v>1996</v>
      </c>
      <c r="B16" s="98">
        <v>1</v>
      </c>
      <c r="C16" s="22"/>
      <c r="D16" s="98">
        <f>Broadway!G$18</f>
        <v>1.3790421160652269</v>
      </c>
      <c r="E16" s="98"/>
      <c r="F16" s="98">
        <f>'28th'!G$18</f>
        <v>1.7230164987450323</v>
      </c>
    </row>
    <row r="17" spans="1:8" x14ac:dyDescent="0.25">
      <c r="A17">
        <f t="shared" si="0"/>
        <v>1997</v>
      </c>
      <c r="B17" s="98">
        <v>1</v>
      </c>
      <c r="C17" s="98">
        <f>Arapahoe!G$18</f>
        <v>1.8707837717602958</v>
      </c>
      <c r="D17" s="22"/>
      <c r="E17" s="98">
        <f>Valmont!G$18</f>
        <v>1.6015620429795812</v>
      </c>
      <c r="F17" s="22"/>
    </row>
    <row r="18" spans="1:8" x14ac:dyDescent="0.25">
      <c r="A18">
        <f t="shared" si="0"/>
        <v>1998</v>
      </c>
      <c r="B18" s="98">
        <v>1</v>
      </c>
      <c r="C18" s="22"/>
      <c r="D18" s="98">
        <f>Broadway!G$19</f>
        <v>1.3836084806879594</v>
      </c>
      <c r="E18" s="98"/>
      <c r="F18" s="98">
        <f>'28th'!G$19</f>
        <v>1.7452848864509454</v>
      </c>
    </row>
    <row r="19" spans="1:8" x14ac:dyDescent="0.25">
      <c r="A19">
        <f t="shared" si="0"/>
        <v>1999</v>
      </c>
      <c r="B19" s="98">
        <v>1</v>
      </c>
      <c r="C19" s="98">
        <f>Arapahoe!G$19</f>
        <v>1.9991394336306418</v>
      </c>
      <c r="E19" s="98">
        <f>Valmont!G$19</f>
        <v>1.5748693422632549</v>
      </c>
      <c r="F19" s="22"/>
    </row>
    <row r="20" spans="1:8" x14ac:dyDescent="0.25">
      <c r="A20">
        <f t="shared" si="0"/>
        <v>2000</v>
      </c>
      <c r="B20" s="98">
        <v>1</v>
      </c>
      <c r="C20" s="22"/>
      <c r="D20" s="98">
        <f>Broadway!G$20</f>
        <v>1.674333695001931</v>
      </c>
      <c r="E20" s="98"/>
      <c r="F20" s="98">
        <f>'28th'!G$20</f>
        <v>2.4940594230622763</v>
      </c>
    </row>
    <row r="21" spans="1:8" x14ac:dyDescent="0.25">
      <c r="A21">
        <f t="shared" si="0"/>
        <v>2001</v>
      </c>
      <c r="B21" s="98">
        <v>1</v>
      </c>
      <c r="C21" s="98">
        <f>Arapahoe!G$20</f>
        <v>3.4238872803914848</v>
      </c>
      <c r="E21" s="98">
        <f>Valmont!G$20</f>
        <v>1.4333980284667251</v>
      </c>
    </row>
    <row r="22" spans="1:8" x14ac:dyDescent="0.25">
      <c r="A22">
        <f t="shared" si="0"/>
        <v>2002</v>
      </c>
      <c r="B22" s="98">
        <v>1</v>
      </c>
      <c r="D22" s="98">
        <f>Broadway!G$21</f>
        <v>1.6271479272336948</v>
      </c>
      <c r="F22" s="98">
        <f>'28th'!G$21</f>
        <v>2.35209845143708</v>
      </c>
    </row>
    <row r="23" spans="1:8" x14ac:dyDescent="0.25">
      <c r="A23">
        <f t="shared" si="0"/>
        <v>2003</v>
      </c>
      <c r="B23" s="98">
        <v>1</v>
      </c>
      <c r="C23" s="98">
        <f>Arapahoe!G$21</f>
        <v>3.3179938593484493</v>
      </c>
      <c r="D23" s="98"/>
      <c r="E23" s="98">
        <f>Valmont!G$21</f>
        <v>1.3132808752432565</v>
      </c>
      <c r="F23" s="98"/>
    </row>
    <row r="24" spans="1:8" x14ac:dyDescent="0.25">
      <c r="A24">
        <f t="shared" si="0"/>
        <v>2004</v>
      </c>
      <c r="B24" s="98">
        <v>1</v>
      </c>
      <c r="C24" s="98"/>
      <c r="D24" s="98">
        <f>Broadway!G$22</f>
        <v>1.3714315083606727</v>
      </c>
      <c r="E24" s="98"/>
      <c r="F24" s="98">
        <f>'28th'!G$22</f>
        <v>1.4530122978108349</v>
      </c>
    </row>
    <row r="25" spans="1:8" x14ac:dyDescent="0.25">
      <c r="A25">
        <f t="shared" si="0"/>
        <v>2005</v>
      </c>
      <c r="B25" s="98">
        <v>1</v>
      </c>
      <c r="C25" s="98">
        <f>Arapahoe!G$22</f>
        <v>1.8451126393862265</v>
      </c>
      <c r="D25" s="98"/>
      <c r="E25" s="98">
        <f>Valmont!G$22</f>
        <v>1.6362625539108056</v>
      </c>
      <c r="F25" s="98"/>
    </row>
    <row r="26" spans="1:8" x14ac:dyDescent="0.25">
      <c r="A26">
        <f t="shared" si="0"/>
        <v>2006</v>
      </c>
      <c r="B26" s="98">
        <v>1</v>
      </c>
      <c r="C26" s="98"/>
      <c r="D26" s="98">
        <f>Broadway!G23</f>
        <v>1.3988296960970679</v>
      </c>
      <c r="E26" s="98"/>
      <c r="F26" s="98">
        <f>'28th'!G23</f>
        <v>1.7397177895244671</v>
      </c>
      <c r="G26" s="98">
        <f>Foothills!G13</f>
        <v>1.5051230334812422</v>
      </c>
    </row>
    <row r="27" spans="1:8" x14ac:dyDescent="0.25">
      <c r="A27">
        <f t="shared" si="0"/>
        <v>2007</v>
      </c>
      <c r="B27" s="98">
        <v>1</v>
      </c>
      <c r="C27" s="98">
        <f>Arapahoe!G23</f>
        <v>1.7520547845302255</v>
      </c>
      <c r="D27" s="98"/>
      <c r="E27" s="98">
        <f>Valmont!G23</f>
        <v>1.6335932838391727</v>
      </c>
      <c r="F27" s="98"/>
      <c r="G27" s="98"/>
      <c r="H27" s="98">
        <f>Pearl!G13</f>
        <v>1.4211384965024747</v>
      </c>
    </row>
    <row r="28" spans="1:8" x14ac:dyDescent="0.25">
      <c r="A28">
        <f t="shared" si="0"/>
        <v>2008</v>
      </c>
      <c r="B28" s="98">
        <v>1</v>
      </c>
      <c r="C28" s="98"/>
      <c r="D28" s="98">
        <f>Broadway!G24</f>
        <v>1.4825463808471644</v>
      </c>
      <c r="E28" s="98"/>
      <c r="F28" s="98">
        <f>'28th'!G24</f>
        <v>1.5031161701491396</v>
      </c>
      <c r="G28" s="98">
        <f>Foothills!G14</f>
        <v>1.352480839048003</v>
      </c>
    </row>
    <row r="29" spans="1:8" x14ac:dyDescent="0.25">
      <c r="A29">
        <f t="shared" si="0"/>
        <v>2009</v>
      </c>
      <c r="B29" s="98">
        <v>1</v>
      </c>
      <c r="C29" s="98"/>
      <c r="D29" s="98"/>
      <c r="E29" s="98"/>
      <c r="F29" s="98"/>
      <c r="G29" s="98"/>
    </row>
    <row r="30" spans="1:8" x14ac:dyDescent="0.25">
      <c r="A30">
        <f t="shared" si="0"/>
        <v>2010</v>
      </c>
      <c r="B30" s="98">
        <v>1</v>
      </c>
      <c r="C30" s="98">
        <f>Arapahoe!G24</f>
        <v>1.8547393140265023</v>
      </c>
      <c r="D30" s="98"/>
      <c r="E30" s="98">
        <f>Valmont!G24</f>
        <v>1.6122391232661117</v>
      </c>
      <c r="F30" s="98"/>
      <c r="G30" s="98"/>
      <c r="H30" s="98">
        <f>Pearl!G14</f>
        <v>1.4995023182172162</v>
      </c>
    </row>
    <row r="31" spans="1:8" x14ac:dyDescent="0.25">
      <c r="A31">
        <f t="shared" si="0"/>
        <v>2011</v>
      </c>
      <c r="B31" s="98">
        <v>1</v>
      </c>
      <c r="C31" s="98"/>
      <c r="D31" s="98"/>
      <c r="E31" s="98"/>
      <c r="F31" s="98"/>
      <c r="G31" s="98"/>
    </row>
    <row r="32" spans="1:8" x14ac:dyDescent="0.25">
      <c r="A32">
        <f t="shared" si="0"/>
        <v>2012</v>
      </c>
      <c r="B32" s="98">
        <v>1</v>
      </c>
      <c r="C32" s="98"/>
      <c r="D32" s="98">
        <f>Broadway!G26</f>
        <v>1.4247057622925521</v>
      </c>
      <c r="E32" s="98"/>
      <c r="F32" s="98">
        <f>'28th'!G26</f>
        <v>1.5977568178992707</v>
      </c>
      <c r="G32" s="98">
        <f>Foothills!G16</f>
        <v>1.4128277531262605</v>
      </c>
    </row>
    <row r="33" spans="1:15" x14ac:dyDescent="0.25">
      <c r="A33">
        <f t="shared" si="0"/>
        <v>2013</v>
      </c>
      <c r="B33" s="98">
        <v>1</v>
      </c>
      <c r="C33" s="98"/>
      <c r="D33" s="98"/>
      <c r="E33" s="98"/>
      <c r="F33" s="98"/>
      <c r="G33" s="98"/>
    </row>
    <row r="34" spans="1:15" x14ac:dyDescent="0.25">
      <c r="A34">
        <f t="shared" si="0"/>
        <v>2014</v>
      </c>
      <c r="B34" s="98">
        <v>1</v>
      </c>
      <c r="C34" s="98">
        <f>Arapahoe!G26</f>
        <v>1.8162326154653985</v>
      </c>
      <c r="D34" s="98">
        <f>Broadway!G27</f>
        <v>1.4277500053743739</v>
      </c>
      <c r="E34" s="98">
        <f>Valmont!G26</f>
        <v>1.6442703641257035</v>
      </c>
      <c r="F34" s="98"/>
      <c r="G34" s="98"/>
    </row>
    <row r="35" spans="1:15" x14ac:dyDescent="0.25">
      <c r="A35">
        <f t="shared" si="0"/>
        <v>2015</v>
      </c>
      <c r="B35" s="98">
        <v>1</v>
      </c>
      <c r="C35" s="98"/>
      <c r="D35" s="98"/>
      <c r="E35" s="98"/>
      <c r="F35" s="98"/>
      <c r="G35" s="98"/>
    </row>
    <row r="36" spans="1:15" x14ac:dyDescent="0.25">
      <c r="A36">
        <f t="shared" si="0"/>
        <v>2016</v>
      </c>
      <c r="B36" s="98">
        <v>1</v>
      </c>
      <c r="C36" s="98"/>
      <c r="D36" s="98">
        <f>Broadway!G28</f>
        <v>1.5616967009745286</v>
      </c>
      <c r="E36" s="98"/>
      <c r="F36" s="98">
        <f>'28th'!G28</f>
        <v>1.998587796605708</v>
      </c>
      <c r="G36" s="98">
        <f>Foothills!G18</f>
        <v>1.7252117789431221</v>
      </c>
    </row>
    <row r="38" spans="1:15" ht="26.4" x14ac:dyDescent="0.25">
      <c r="C38" s="21" t="s">
        <v>188</v>
      </c>
      <c r="D38" t="str">
        <f>Broadway!$A$1</f>
        <v>Broadway</v>
      </c>
      <c r="E38" s="20"/>
      <c r="F38" s="21" t="str">
        <f>'28th'!$A$1</f>
        <v>28th Street</v>
      </c>
      <c r="G38" t="str">
        <f>Foothills!$A$1</f>
        <v>Foothills Parkway</v>
      </c>
      <c r="K38" s="119" t="s">
        <v>305</v>
      </c>
      <c r="L38" t="str">
        <f>Broadway!$A$1</f>
        <v>Broadway</v>
      </c>
      <c r="M38" s="20"/>
      <c r="N38" s="21" t="str">
        <f>'28th'!$A$1</f>
        <v>28th Street</v>
      </c>
      <c r="O38" t="str">
        <f>Foothills!$A$1</f>
        <v>Foothills Parkway</v>
      </c>
    </row>
    <row r="39" spans="1:15" ht="39.6" x14ac:dyDescent="0.25">
      <c r="A39" t="s">
        <v>3</v>
      </c>
      <c r="D39" s="20" t="str">
        <f>Broadway!$E$4</f>
        <v>Greenbriar to Violet</v>
      </c>
      <c r="E39" s="20"/>
      <c r="F39" s="21" t="str">
        <f>'28th'!$F$4</f>
        <v>Table Mesa to Kalmia</v>
      </c>
      <c r="G39" t="str">
        <f>Foothills!$F$4</f>
        <v>South Boulder Road to Diagonal Highway</v>
      </c>
      <c r="L39" s="20" t="str">
        <f>Broadway!$E$4</f>
        <v>Greenbriar to Violet</v>
      </c>
      <c r="M39" s="20"/>
      <c r="N39" s="21" t="str">
        <f>'28th'!$F$4</f>
        <v>Table Mesa to Kalmia</v>
      </c>
      <c r="O39" t="str">
        <f>Foothills!$F$4</f>
        <v>South Boulder Road to Diagonal Highway</v>
      </c>
    </row>
    <row r="40" spans="1:15" x14ac:dyDescent="0.25">
      <c r="A40">
        <v>1986</v>
      </c>
      <c r="C40" s="98">
        <v>1</v>
      </c>
      <c r="D40" s="98">
        <f>Broadway!$G$13</f>
        <v>1.2724936082014675</v>
      </c>
      <c r="E40" s="98"/>
      <c r="F40" s="98">
        <f>'28th'!$G$13</f>
        <v>1.5226010093918139</v>
      </c>
      <c r="L40" s="155">
        <f>Broadway!$B$13</f>
        <v>13.933333333333334</v>
      </c>
      <c r="M40" s="98"/>
      <c r="N40" s="155">
        <f>'28th'!$B$13</f>
        <v>9.1166666666666671</v>
      </c>
      <c r="O40" s="155"/>
    </row>
    <row r="41" spans="1:15" x14ac:dyDescent="0.25">
      <c r="A41">
        <f t="shared" ref="A41:A50" si="1">A40+2</f>
        <v>1988</v>
      </c>
      <c r="C41" s="98">
        <v>1</v>
      </c>
      <c r="D41" s="98">
        <f>Broadway!$G$14</f>
        <v>1.3288121052151689</v>
      </c>
      <c r="E41" s="98"/>
      <c r="F41" s="98">
        <f>'28th'!$G$14</f>
        <v>1.4724971370535089</v>
      </c>
      <c r="L41" s="155">
        <f>Broadway!$B$14</f>
        <v>14.55</v>
      </c>
      <c r="M41" s="98"/>
      <c r="N41" s="155">
        <f>'28th'!$B$14</f>
        <v>8.8166666666666664</v>
      </c>
      <c r="O41" s="155"/>
    </row>
    <row r="42" spans="1:15" x14ac:dyDescent="0.25">
      <c r="A42">
        <f t="shared" si="1"/>
        <v>1990</v>
      </c>
      <c r="C42" s="98">
        <v>1</v>
      </c>
      <c r="D42" s="98">
        <f>Broadway!$G$15</f>
        <v>1.3242457405924364</v>
      </c>
      <c r="E42" s="98"/>
      <c r="F42" s="98">
        <f>'28th'!$G$15</f>
        <v>1.5699213332668793</v>
      </c>
      <c r="L42" s="155">
        <f>Broadway!$B$15</f>
        <v>14.5</v>
      </c>
      <c r="M42" s="98"/>
      <c r="N42" s="155">
        <f>'28th'!$B$15</f>
        <v>9.4</v>
      </c>
      <c r="O42" s="155"/>
    </row>
    <row r="43" spans="1:15" x14ac:dyDescent="0.25">
      <c r="A43">
        <f t="shared" si="1"/>
        <v>1992</v>
      </c>
      <c r="C43" s="98">
        <v>1</v>
      </c>
      <c r="D43" s="98">
        <f>Broadway!$G$16</f>
        <v>1.3501218067879208</v>
      </c>
      <c r="E43" s="98"/>
      <c r="F43" s="98">
        <f>'28th'!$G$16</f>
        <v>1.6562113356272927</v>
      </c>
      <c r="L43" s="155">
        <f>Broadway!$B$16</f>
        <v>14.783333333333333</v>
      </c>
      <c r="M43" s="98"/>
      <c r="N43" s="155">
        <f>'28th'!$B$16</f>
        <v>9.9166666666666661</v>
      </c>
      <c r="O43" s="155"/>
    </row>
    <row r="44" spans="1:15" x14ac:dyDescent="0.25">
      <c r="A44">
        <f t="shared" si="1"/>
        <v>1994</v>
      </c>
      <c r="C44" s="98">
        <v>1</v>
      </c>
      <c r="D44" s="98">
        <f>Broadway!$G$17</f>
        <v>1.4033960607198004</v>
      </c>
      <c r="E44" s="98"/>
      <c r="F44" s="98">
        <f>'28th'!$G$17</f>
        <v>1.661778432553771</v>
      </c>
      <c r="L44" s="155">
        <f>Broadway!$B$17</f>
        <v>15.366666666666667</v>
      </c>
      <c r="M44" s="98"/>
      <c r="N44" s="155">
        <f>'28th'!$B$17</f>
        <v>9.9499999999999993</v>
      </c>
      <c r="O44" s="155"/>
    </row>
    <row r="45" spans="1:15" x14ac:dyDescent="0.25">
      <c r="A45">
        <f t="shared" si="1"/>
        <v>1996</v>
      </c>
      <c r="C45" s="98">
        <v>1</v>
      </c>
      <c r="D45" s="98">
        <f>Broadway!$G$18</f>
        <v>1.3790421160652269</v>
      </c>
      <c r="E45" s="98"/>
      <c r="F45" s="98">
        <f>'28th'!$G$18</f>
        <v>1.7230164987450323</v>
      </c>
      <c r="L45" s="155">
        <f>Broadway!$B$18</f>
        <v>15.1</v>
      </c>
      <c r="M45" s="98"/>
      <c r="N45" s="155">
        <f>'28th'!$B$18</f>
        <v>10.316666666666666</v>
      </c>
      <c r="O45" s="155"/>
    </row>
    <row r="46" spans="1:15" x14ac:dyDescent="0.25">
      <c r="A46">
        <f t="shared" si="1"/>
        <v>1998</v>
      </c>
      <c r="C46" s="98">
        <v>1</v>
      </c>
      <c r="D46" s="98">
        <f>Broadway!$G$19</f>
        <v>1.3836084806879594</v>
      </c>
      <c r="E46" s="98"/>
      <c r="F46" s="98">
        <f>'28th'!$G$19</f>
        <v>1.7452848864509454</v>
      </c>
      <c r="L46" s="155">
        <f>Broadway!$B$19</f>
        <v>15.15</v>
      </c>
      <c r="M46" s="98"/>
      <c r="N46" s="155">
        <f>'28th'!$B$19</f>
        <v>10.45</v>
      </c>
      <c r="O46" s="155"/>
    </row>
    <row r="47" spans="1:15" x14ac:dyDescent="0.25">
      <c r="A47">
        <f t="shared" si="1"/>
        <v>2000</v>
      </c>
      <c r="C47" s="98">
        <v>1</v>
      </c>
      <c r="D47" s="98">
        <f>Broadway!$G$20</f>
        <v>1.674333695001931</v>
      </c>
      <c r="E47" s="98"/>
      <c r="F47" s="98">
        <f>'28th'!$G$20</f>
        <v>2.4940594230622763</v>
      </c>
      <c r="L47" s="155">
        <f>Broadway!$B$20</f>
        <v>18.333333333333332</v>
      </c>
      <c r="M47" s="98"/>
      <c r="N47" s="155">
        <f>'28th'!$B$20</f>
        <v>14.933333333333334</v>
      </c>
      <c r="O47" s="155"/>
    </row>
    <row r="48" spans="1:15" x14ac:dyDescent="0.25">
      <c r="A48">
        <f t="shared" si="1"/>
        <v>2002</v>
      </c>
      <c r="C48" s="98">
        <v>1</v>
      </c>
      <c r="D48" s="98">
        <f>Broadway!$G$21</f>
        <v>1.6271479272336948</v>
      </c>
      <c r="E48" s="98"/>
      <c r="F48" s="98">
        <f>'28th'!$G$21</f>
        <v>2.35209845143708</v>
      </c>
      <c r="L48" s="155">
        <f>Broadway!$B$21</f>
        <v>17.816666666666666</v>
      </c>
      <c r="M48" s="98"/>
      <c r="N48" s="155">
        <f>'28th'!$B$21</f>
        <v>14.083333333333334</v>
      </c>
      <c r="O48" s="155"/>
    </row>
    <row r="49" spans="1:17" x14ac:dyDescent="0.25">
      <c r="A49">
        <f t="shared" si="1"/>
        <v>2004</v>
      </c>
      <c r="C49" s="98">
        <v>1</v>
      </c>
      <c r="D49" s="98">
        <f>Broadway!$G$22</f>
        <v>1.3714315083606727</v>
      </c>
      <c r="E49" s="98"/>
      <c r="F49" s="98">
        <f>'28th'!$G$22</f>
        <v>1.4530122978108349</v>
      </c>
      <c r="L49" s="155">
        <f>Broadway!$B$22</f>
        <v>15.016666666666667</v>
      </c>
      <c r="M49" s="98"/>
      <c r="N49" s="155">
        <f>'28th'!$B$22</f>
        <v>8.6999999999999993</v>
      </c>
      <c r="O49" s="155"/>
    </row>
    <row r="50" spans="1:17" x14ac:dyDescent="0.25">
      <c r="A50">
        <f t="shared" si="1"/>
        <v>2006</v>
      </c>
      <c r="C50" s="98">
        <v>1</v>
      </c>
      <c r="D50" s="98">
        <f>D26</f>
        <v>1.3988296960970679</v>
      </c>
      <c r="E50" s="98"/>
      <c r="F50" s="98">
        <f>F26</f>
        <v>1.7397177895244671</v>
      </c>
      <c r="G50" s="98">
        <f>Foothills!$G$13</f>
        <v>1.5051230334812422</v>
      </c>
      <c r="L50" s="155">
        <f>Broadway!$B$23</f>
        <v>15.316666666666666</v>
      </c>
      <c r="M50" s="98"/>
      <c r="N50" s="155">
        <f>'28th'!$B$23</f>
        <v>10.416666666666666</v>
      </c>
      <c r="O50" s="155">
        <f>Foothills!$B$13</f>
        <v>7.0666666666666664</v>
      </c>
    </row>
    <row r="51" spans="1:17" x14ac:dyDescent="0.25">
      <c r="A51">
        <f>A28</f>
        <v>2008</v>
      </c>
      <c r="C51" s="98">
        <v>1</v>
      </c>
      <c r="D51" s="98">
        <f>D28</f>
        <v>1.4825463808471644</v>
      </c>
      <c r="E51" s="98"/>
      <c r="F51" s="98">
        <f>F28</f>
        <v>1.5031161701491396</v>
      </c>
      <c r="G51" s="98">
        <f>G28</f>
        <v>1.352480839048003</v>
      </c>
      <c r="L51" s="155">
        <f>Broadway!$B$24</f>
        <v>16.233333333333334</v>
      </c>
      <c r="M51" s="98"/>
      <c r="N51" s="155">
        <f>'28th'!$B$24</f>
        <v>9</v>
      </c>
      <c r="O51" s="155">
        <f>Foothills!$B$14</f>
        <v>6.35</v>
      </c>
    </row>
    <row r="52" spans="1:17" x14ac:dyDescent="0.25">
      <c r="A52">
        <f>A32</f>
        <v>2012</v>
      </c>
      <c r="C52" s="98">
        <v>1</v>
      </c>
      <c r="D52" s="98">
        <f>D32</f>
        <v>1.4247057622925521</v>
      </c>
      <c r="E52" s="98"/>
      <c r="F52" s="98">
        <f>F32</f>
        <v>1.5977568178992707</v>
      </c>
      <c r="G52" s="98">
        <f>G32</f>
        <v>1.4128277531262605</v>
      </c>
      <c r="L52" s="155">
        <f>Broadway!$B$26</f>
        <v>15.6</v>
      </c>
      <c r="M52" s="98"/>
      <c r="N52" s="155">
        <f>'28th'!$B$26</f>
        <v>9.5666666666666664</v>
      </c>
      <c r="O52" s="155">
        <f>Foothills!$B$16</f>
        <v>6.6333333333333329</v>
      </c>
    </row>
    <row r="53" spans="1:17" x14ac:dyDescent="0.25">
      <c r="A53">
        <v>2014</v>
      </c>
      <c r="C53" s="98">
        <v>1</v>
      </c>
      <c r="D53" s="98">
        <f>D34</f>
        <v>1.4277500053743739</v>
      </c>
      <c r="E53" s="98"/>
      <c r="F53" s="98"/>
      <c r="G53" s="98"/>
      <c r="L53" s="155">
        <f>Broadway!$B$27</f>
        <v>15.633333333333333</v>
      </c>
      <c r="M53" s="98"/>
      <c r="N53" s="155"/>
      <c r="O53" s="155"/>
    </row>
    <row r="54" spans="1:17" x14ac:dyDescent="0.25">
      <c r="A54">
        <v>2016</v>
      </c>
      <c r="C54" s="98">
        <v>1</v>
      </c>
      <c r="D54" s="98">
        <f>D36</f>
        <v>1.5616967009745286</v>
      </c>
      <c r="E54" s="98"/>
      <c r="F54" s="98">
        <f>F36</f>
        <v>1.998587796605708</v>
      </c>
      <c r="G54" s="98">
        <f>G36</f>
        <v>1.7252117789431221</v>
      </c>
      <c r="L54" s="155">
        <f>Broadway!$B$28</f>
        <v>17.100000000000001</v>
      </c>
      <c r="M54" s="98"/>
      <c r="N54" s="155">
        <f>'28th'!B28</f>
        <v>11.966666666666667</v>
      </c>
      <c r="O54" s="155">
        <f>Foothills!B18</f>
        <v>8.1</v>
      </c>
    </row>
    <row r="56" spans="1:17" ht="39.6" x14ac:dyDescent="0.25">
      <c r="C56" s="21" t="str">
        <f>Arapahoe!$A$1</f>
        <v>Arapahoe Avenue</v>
      </c>
      <c r="E56" s="20" t="str">
        <f>Valmont!$A$1</f>
        <v>Edgewood/Valmont</v>
      </c>
      <c r="F56" s="21"/>
      <c r="H56" s="144" t="s">
        <v>297</v>
      </c>
      <c r="K56" s="119" t="s">
        <v>305</v>
      </c>
      <c r="L56" s="21" t="str">
        <f>Arapahoe!$A$1</f>
        <v>Arapahoe Avenue</v>
      </c>
      <c r="N56" s="20" t="str">
        <f>Valmont!$A$1</f>
        <v>Edgewood/Valmont</v>
      </c>
      <c r="O56" s="21"/>
      <c r="Q56" s="144" t="s">
        <v>297</v>
      </c>
    </row>
    <row r="57" spans="1:17" ht="39.6" x14ac:dyDescent="0.25">
      <c r="A57" t="s">
        <v>3</v>
      </c>
      <c r="C57" s="21" t="str">
        <f>Arapahoe!$E$4</f>
        <v>9th Street to 55th Street</v>
      </c>
      <c r="D57" s="20"/>
      <c r="E57" s="20" t="str">
        <f>Valmont!$F$4</f>
        <v>9th Street to 55th Street</v>
      </c>
      <c r="F57" s="21"/>
      <c r="H57" s="119" t="s">
        <v>298</v>
      </c>
      <c r="L57" s="21" t="str">
        <f>Arapahoe!$E$4</f>
        <v>9th Street to 55th Street</v>
      </c>
      <c r="M57" s="20"/>
      <c r="N57" s="20" t="str">
        <f>Valmont!$F$4</f>
        <v>9th Street to 55th Street</v>
      </c>
      <c r="O57" s="21"/>
      <c r="Q57" s="119" t="s">
        <v>298</v>
      </c>
    </row>
    <row r="58" spans="1:17" x14ac:dyDescent="0.25">
      <c r="A58">
        <v>1987</v>
      </c>
      <c r="C58" s="98">
        <f>Arapahoe!$G$13</f>
        <v>1.7552636760769842</v>
      </c>
      <c r="E58" s="98">
        <f>Valmont!$G$13</f>
        <v>1.6629552546271318</v>
      </c>
      <c r="L58" s="155">
        <f>Arapahoe!$B$13</f>
        <v>9.1166666666666671</v>
      </c>
      <c r="M58" s="155"/>
      <c r="N58" s="155">
        <f>Valmont!$B$13</f>
        <v>10.383333333333333</v>
      </c>
      <c r="O58" s="155"/>
      <c r="P58" s="155"/>
      <c r="Q58" s="155"/>
    </row>
    <row r="59" spans="1:17" x14ac:dyDescent="0.25">
      <c r="A59">
        <f t="shared" ref="A59:A67" si="2">A58+2</f>
        <v>1989</v>
      </c>
      <c r="C59" s="98">
        <f>Arapahoe!$G$14</f>
        <v>1.9606327350695381</v>
      </c>
      <c r="E59" s="98">
        <f>Valmont!$G$14</f>
        <v>1.5802078824065202</v>
      </c>
      <c r="L59" s="155">
        <f>Arapahoe!$B$14</f>
        <v>10.183333333333334</v>
      </c>
      <c r="M59" s="155"/>
      <c r="N59" s="155">
        <f>Valmont!$B$14</f>
        <v>9.8666666666666671</v>
      </c>
      <c r="O59" s="155"/>
      <c r="P59" s="155"/>
      <c r="Q59" s="155"/>
    </row>
    <row r="60" spans="1:17" x14ac:dyDescent="0.25">
      <c r="A60">
        <f t="shared" si="2"/>
        <v>1991</v>
      </c>
      <c r="C60" s="98">
        <f>Arapahoe!$G$15</f>
        <v>1.9381704942422273</v>
      </c>
      <c r="E60" s="98">
        <f>Valmont!$G$15</f>
        <v>1.5374995612603979</v>
      </c>
      <c r="L60" s="155">
        <f>Arapahoe!$B$15</f>
        <v>10.066666666666666</v>
      </c>
      <c r="M60" s="155"/>
      <c r="N60" s="155">
        <f>Valmont!$B$15</f>
        <v>9.6</v>
      </c>
      <c r="O60" s="155"/>
      <c r="P60" s="155"/>
      <c r="Q60" s="155"/>
    </row>
    <row r="61" spans="1:17" x14ac:dyDescent="0.25">
      <c r="A61">
        <f t="shared" si="2"/>
        <v>1993</v>
      </c>
      <c r="C61" s="98">
        <f>Arapahoe!$G$16</f>
        <v>2.1274950955009881</v>
      </c>
      <c r="E61" s="98">
        <f>Valmont!$G$16</f>
        <v>1.638931823982438</v>
      </c>
      <c r="L61" s="155">
        <f>Arapahoe!$B$16</f>
        <v>11.05</v>
      </c>
      <c r="M61" s="155"/>
      <c r="N61" s="155">
        <f>Valmont!$B$16</f>
        <v>10.233333333333333</v>
      </c>
      <c r="O61" s="155"/>
      <c r="P61" s="155"/>
      <c r="Q61" s="155"/>
    </row>
    <row r="62" spans="1:17" x14ac:dyDescent="0.25">
      <c r="A62">
        <f t="shared" si="2"/>
        <v>1995</v>
      </c>
      <c r="C62" s="98">
        <f>Arapahoe!$G$17</f>
        <v>2.0697350476593321</v>
      </c>
      <c r="D62" s="22"/>
      <c r="E62" s="98">
        <f>Valmont!$G$17</f>
        <v>1.6442703641257035</v>
      </c>
      <c r="F62" s="98"/>
      <c r="L62" s="155">
        <f>Arapahoe!$B$17</f>
        <v>10.75</v>
      </c>
      <c r="M62" s="155"/>
      <c r="N62" s="155">
        <f>Valmont!$B$17</f>
        <v>10.266666666666667</v>
      </c>
      <c r="O62" s="155"/>
      <c r="P62" s="155"/>
      <c r="Q62" s="155"/>
    </row>
    <row r="63" spans="1:17" x14ac:dyDescent="0.25">
      <c r="A63">
        <f t="shared" si="2"/>
        <v>1997</v>
      </c>
      <c r="C63" s="98">
        <f>Arapahoe!$G$18</f>
        <v>1.8707837717602958</v>
      </c>
      <c r="D63" s="22"/>
      <c r="E63" s="98">
        <f>Valmont!$G$18</f>
        <v>1.6015620429795812</v>
      </c>
      <c r="F63" s="22"/>
      <c r="L63" s="155">
        <f>Arapahoe!$B$18</f>
        <v>9.7166666666666668</v>
      </c>
      <c r="M63" s="155"/>
      <c r="N63" s="155">
        <f>Valmont!$B$18</f>
        <v>10</v>
      </c>
      <c r="O63" s="155"/>
      <c r="P63" s="155"/>
      <c r="Q63" s="155"/>
    </row>
    <row r="64" spans="1:17" x14ac:dyDescent="0.25">
      <c r="A64">
        <f t="shared" si="2"/>
        <v>1999</v>
      </c>
      <c r="C64" s="98">
        <f>Arapahoe!$G$19</f>
        <v>1.9991394336306418</v>
      </c>
      <c r="E64" s="98">
        <f>Valmont!$G$19</f>
        <v>1.5748693422632549</v>
      </c>
      <c r="F64" s="22"/>
      <c r="L64" s="155">
        <f>Arapahoe!$B$19</f>
        <v>10.383333333333333</v>
      </c>
      <c r="M64" s="155"/>
      <c r="N64" s="155">
        <f>Valmont!$B$19</f>
        <v>9.8333333333333339</v>
      </c>
      <c r="O64" s="155"/>
      <c r="P64" s="155"/>
      <c r="Q64" s="155"/>
    </row>
    <row r="65" spans="1:17" x14ac:dyDescent="0.25">
      <c r="A65">
        <f t="shared" si="2"/>
        <v>2001</v>
      </c>
      <c r="C65" s="98">
        <f>Arapahoe!$G$20</f>
        <v>3.4238872803914848</v>
      </c>
      <c r="E65" s="98">
        <f>Valmont!$G$20</f>
        <v>1.4333980284667251</v>
      </c>
      <c r="L65" s="155">
        <f>Arapahoe!$B$20</f>
        <v>17.783333333333335</v>
      </c>
      <c r="M65" s="155"/>
      <c r="N65" s="155">
        <f>Valmont!$B$20</f>
        <v>8.9499999999999993</v>
      </c>
      <c r="O65" s="155"/>
      <c r="P65" s="155"/>
      <c r="Q65" s="155"/>
    </row>
    <row r="66" spans="1:17" x14ac:dyDescent="0.25">
      <c r="A66">
        <f t="shared" si="2"/>
        <v>2003</v>
      </c>
      <c r="C66" s="98">
        <f>Arapahoe!$G$21</f>
        <v>3.3179938593484493</v>
      </c>
      <c r="E66" s="98">
        <f>Valmont!$G$21</f>
        <v>1.3132808752432565</v>
      </c>
      <c r="L66" s="155">
        <f>Arapahoe!$B$21</f>
        <v>17.233333333333334</v>
      </c>
      <c r="M66" s="155"/>
      <c r="N66" s="155">
        <f>Valmont!$B$21</f>
        <v>8.1999999999999993</v>
      </c>
      <c r="O66" s="155"/>
      <c r="P66" s="155"/>
      <c r="Q66" s="155"/>
    </row>
    <row r="67" spans="1:17" x14ac:dyDescent="0.25">
      <c r="A67">
        <f t="shared" si="2"/>
        <v>2005</v>
      </c>
      <c r="C67" s="98">
        <f>Arapahoe!$G$22</f>
        <v>1.8451126393862265</v>
      </c>
      <c r="E67" s="98">
        <f>Valmont!$G$22</f>
        <v>1.6362625539108056</v>
      </c>
      <c r="L67" s="155">
        <f>Arapahoe!$B$22</f>
        <v>9.5833333333333339</v>
      </c>
      <c r="M67" s="155"/>
      <c r="N67" s="155">
        <f>Valmont!$B$22</f>
        <v>10.216666666666667</v>
      </c>
      <c r="O67" s="155"/>
      <c r="P67" s="155"/>
      <c r="Q67" s="155"/>
    </row>
    <row r="68" spans="1:17" x14ac:dyDescent="0.25">
      <c r="A68">
        <f>A27</f>
        <v>2007</v>
      </c>
      <c r="C68" s="98">
        <f>Arapahoe!$G$23</f>
        <v>1.7520547845302255</v>
      </c>
      <c r="E68" s="98">
        <f>Valmont!$G$23</f>
        <v>1.6335932838391727</v>
      </c>
      <c r="H68" s="98">
        <f>Pearl!$G$13</f>
        <v>1.4211384965024747</v>
      </c>
      <c r="L68" s="155">
        <f>Arapahoe!$B$23</f>
        <v>9.1</v>
      </c>
      <c r="M68" s="155"/>
      <c r="N68" s="155">
        <f>Valmont!$B$23</f>
        <v>10.199999999999999</v>
      </c>
      <c r="O68" s="155"/>
      <c r="P68" s="155"/>
      <c r="Q68" s="155">
        <f>Pearl!$B$13</f>
        <v>11.183333333333334</v>
      </c>
    </row>
    <row r="69" spans="1:17" x14ac:dyDescent="0.25">
      <c r="A69">
        <f>A30</f>
        <v>2010</v>
      </c>
      <c r="C69" s="98">
        <f>Arapahoe!$G$24</f>
        <v>1.8547393140265023</v>
      </c>
      <c r="E69" s="98">
        <f>Valmont!$G$24</f>
        <v>1.6122391232661117</v>
      </c>
      <c r="H69" s="98">
        <f>Pearl!$G$14</f>
        <v>1.4995023182172162</v>
      </c>
      <c r="L69" s="155">
        <f>Arapahoe!$B$24</f>
        <v>9.6333333333333329</v>
      </c>
      <c r="M69" s="155"/>
      <c r="N69" s="155">
        <f>Valmont!$B$24</f>
        <v>10.066666666666666</v>
      </c>
      <c r="O69" s="155"/>
      <c r="P69" s="155"/>
      <c r="Q69" s="155">
        <f>Pearl!$B$14</f>
        <v>11.8</v>
      </c>
    </row>
    <row r="70" spans="1:17" x14ac:dyDescent="0.25">
      <c r="A70">
        <v>2014</v>
      </c>
      <c r="C70" s="98">
        <f>Arapahoe!$G$26</f>
        <v>1.8162326154653985</v>
      </c>
      <c r="E70" s="98">
        <f>Valmont!$G$26</f>
        <v>1.6442703641257035</v>
      </c>
      <c r="H70" s="98"/>
      <c r="L70" s="155">
        <f>Arapahoe!$B$26</f>
        <v>9.4333333333333336</v>
      </c>
      <c r="M70" s="155"/>
      <c r="N70" s="155">
        <f>Valmont!$B$26</f>
        <v>10.266666666666667</v>
      </c>
      <c r="O70" s="155"/>
      <c r="P70" s="155"/>
      <c r="Q70" s="155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A30" sqref="A30"/>
    </sheetView>
  </sheetViews>
  <sheetFormatPr defaultRowHeight="13.2" x14ac:dyDescent="0.25"/>
  <cols>
    <col min="1" max="1" width="14.33203125" bestFit="1" customWidth="1"/>
    <col min="5" max="5" width="10.5546875" bestFit="1" customWidth="1"/>
    <col min="7" max="7" width="11.33203125" bestFit="1" customWidth="1"/>
    <col min="15" max="15" width="15.33203125" bestFit="1" customWidth="1"/>
  </cols>
  <sheetData>
    <row r="1" spans="1:19" x14ac:dyDescent="0.25">
      <c r="B1" t="s">
        <v>28</v>
      </c>
      <c r="Q1" s="119" t="s">
        <v>103</v>
      </c>
      <c r="R1" s="119" t="s">
        <v>112</v>
      </c>
    </row>
    <row r="2" spans="1:19" x14ac:dyDescent="0.25">
      <c r="B2" t="s">
        <v>2</v>
      </c>
      <c r="D2" t="s">
        <v>36</v>
      </c>
      <c r="F2" t="s">
        <v>37</v>
      </c>
      <c r="H2" t="s">
        <v>42</v>
      </c>
      <c r="K2" t="s">
        <v>51</v>
      </c>
      <c r="O2" s="119" t="s">
        <v>31</v>
      </c>
    </row>
    <row r="3" spans="1:19" x14ac:dyDescent="0.25">
      <c r="A3" t="s">
        <v>94</v>
      </c>
      <c r="O3" s="119" t="s">
        <v>199</v>
      </c>
    </row>
    <row r="4" spans="1:19" x14ac:dyDescent="0.25">
      <c r="A4" t="s">
        <v>93</v>
      </c>
      <c r="B4" s="36">
        <v>2990</v>
      </c>
      <c r="C4" t="s">
        <v>49</v>
      </c>
      <c r="E4" t="s">
        <v>39</v>
      </c>
      <c r="G4" t="s">
        <v>49</v>
      </c>
      <c r="I4" s="19" t="s">
        <v>58</v>
      </c>
      <c r="J4" t="s">
        <v>191</v>
      </c>
      <c r="L4" s="19"/>
      <c r="O4" s="119" t="s">
        <v>200</v>
      </c>
      <c r="P4">
        <v>380</v>
      </c>
      <c r="Q4" s="141"/>
      <c r="R4" s="141"/>
    </row>
    <row r="5" spans="1:19" x14ac:dyDescent="0.25">
      <c r="A5" t="s">
        <v>47</v>
      </c>
      <c r="B5" s="36">
        <v>1450</v>
      </c>
      <c r="C5" t="s">
        <v>68</v>
      </c>
      <c r="D5" s="36">
        <v>770</v>
      </c>
      <c r="E5" t="s">
        <v>40</v>
      </c>
      <c r="F5" s="36">
        <v>1320</v>
      </c>
      <c r="G5" t="s">
        <v>59</v>
      </c>
      <c r="H5">
        <v>2580</v>
      </c>
      <c r="J5" t="s">
        <v>42</v>
      </c>
      <c r="K5" s="110">
        <v>2565</v>
      </c>
      <c r="O5" s="119" t="s">
        <v>201</v>
      </c>
      <c r="P5">
        <v>380</v>
      </c>
      <c r="Q5" s="141"/>
      <c r="R5" s="141"/>
    </row>
    <row r="6" spans="1:19" x14ac:dyDescent="0.25">
      <c r="A6" t="s">
        <v>92</v>
      </c>
      <c r="B6" s="36">
        <v>2170</v>
      </c>
      <c r="C6" t="s">
        <v>67</v>
      </c>
      <c r="D6" s="36">
        <v>1070</v>
      </c>
      <c r="E6" t="s">
        <v>41</v>
      </c>
      <c r="F6" s="36">
        <v>1320</v>
      </c>
      <c r="G6" t="s">
        <v>50</v>
      </c>
      <c r="H6">
        <f>4800/2</f>
        <v>2400</v>
      </c>
      <c r="J6" t="s">
        <v>36</v>
      </c>
      <c r="K6" s="110">
        <v>5600</v>
      </c>
      <c r="O6" s="119" t="s">
        <v>202</v>
      </c>
      <c r="P6">
        <v>380</v>
      </c>
      <c r="Q6" s="141"/>
      <c r="R6" s="141"/>
    </row>
    <row r="7" spans="1:19" x14ac:dyDescent="0.25">
      <c r="A7" t="s">
        <v>91</v>
      </c>
      <c r="B7" s="36">
        <v>3030</v>
      </c>
      <c r="C7" t="s">
        <v>51</v>
      </c>
      <c r="D7" s="36">
        <v>2640</v>
      </c>
      <c r="E7" t="s">
        <v>42</v>
      </c>
      <c r="F7" s="36">
        <v>1320</v>
      </c>
      <c r="G7" t="s">
        <v>51</v>
      </c>
      <c r="H7">
        <v>470</v>
      </c>
      <c r="J7" t="s">
        <v>44</v>
      </c>
      <c r="K7" s="110">
        <v>2260</v>
      </c>
      <c r="O7" s="119" t="s">
        <v>203</v>
      </c>
      <c r="P7">
        <v>380</v>
      </c>
      <c r="Q7" s="141">
        <v>20</v>
      </c>
      <c r="R7" s="141">
        <v>20</v>
      </c>
    </row>
    <row r="8" spans="1:19" x14ac:dyDescent="0.25">
      <c r="A8" t="s">
        <v>90</v>
      </c>
      <c r="B8" s="36">
        <v>1460</v>
      </c>
      <c r="C8" t="s">
        <v>66</v>
      </c>
      <c r="D8" s="36">
        <v>1620</v>
      </c>
      <c r="E8" t="s">
        <v>43</v>
      </c>
      <c r="F8" s="36">
        <v>1310</v>
      </c>
      <c r="G8" t="s">
        <v>52</v>
      </c>
      <c r="H8">
        <v>2500</v>
      </c>
      <c r="J8" t="s">
        <v>90</v>
      </c>
      <c r="K8" s="110">
        <v>3640</v>
      </c>
      <c r="O8" s="119" t="s">
        <v>204</v>
      </c>
      <c r="P8">
        <v>380</v>
      </c>
      <c r="Q8" s="141"/>
      <c r="R8" s="141"/>
    </row>
    <row r="9" spans="1:19" x14ac:dyDescent="0.25">
      <c r="A9" t="s">
        <v>89</v>
      </c>
      <c r="B9" s="36">
        <v>1740</v>
      </c>
      <c r="C9" t="s">
        <v>65</v>
      </c>
      <c r="D9" s="36">
        <v>1000</v>
      </c>
      <c r="E9" t="s">
        <v>31</v>
      </c>
      <c r="F9" s="36">
        <v>1150</v>
      </c>
      <c r="G9" t="s">
        <v>53</v>
      </c>
      <c r="H9">
        <v>1360</v>
      </c>
      <c r="J9" t="s">
        <v>192</v>
      </c>
      <c r="K9" s="110">
        <f>AVERAGE(L9:M9)</f>
        <v>4527.5</v>
      </c>
      <c r="L9" s="110">
        <v>4555</v>
      </c>
      <c r="M9" s="110">
        <v>4500</v>
      </c>
      <c r="N9" t="s">
        <v>194</v>
      </c>
      <c r="O9" s="119" t="s">
        <v>205</v>
      </c>
      <c r="P9">
        <v>380</v>
      </c>
      <c r="Q9" s="141"/>
      <c r="R9" s="141"/>
    </row>
    <row r="10" spans="1:19" x14ac:dyDescent="0.25">
      <c r="A10" t="s">
        <v>88</v>
      </c>
      <c r="B10" s="36">
        <v>1550</v>
      </c>
      <c r="C10" t="s">
        <v>52</v>
      </c>
      <c r="D10" s="36">
        <v>1000</v>
      </c>
      <c r="E10" t="s">
        <v>30</v>
      </c>
      <c r="F10" s="36">
        <v>660</v>
      </c>
      <c r="G10" t="s">
        <v>54</v>
      </c>
      <c r="H10">
        <v>1330</v>
      </c>
      <c r="O10" s="119" t="s">
        <v>62</v>
      </c>
      <c r="P10">
        <v>760</v>
      </c>
      <c r="Q10" s="141"/>
      <c r="R10" s="141"/>
    </row>
    <row r="11" spans="1:19" x14ac:dyDescent="0.25">
      <c r="A11" t="s">
        <v>87</v>
      </c>
      <c r="B11" s="36">
        <v>850</v>
      </c>
      <c r="C11" t="s">
        <v>64</v>
      </c>
      <c r="D11" s="36">
        <v>630</v>
      </c>
      <c r="E11" t="s">
        <v>29</v>
      </c>
      <c r="F11" s="36">
        <v>1140</v>
      </c>
      <c r="G11" t="s">
        <v>55</v>
      </c>
      <c r="H11">
        <f>2880</f>
        <v>2880</v>
      </c>
      <c r="I11" s="19" t="s">
        <v>58</v>
      </c>
      <c r="J11" s="19"/>
      <c r="L11" s="19"/>
      <c r="O11" s="119" t="s">
        <v>212</v>
      </c>
      <c r="P11">
        <v>1100</v>
      </c>
      <c r="Q11" s="139"/>
      <c r="R11" s="139"/>
    </row>
    <row r="12" spans="1:19" x14ac:dyDescent="0.25">
      <c r="A12" t="s">
        <v>86</v>
      </c>
      <c r="B12" s="36">
        <v>640</v>
      </c>
      <c r="C12" t="s">
        <v>53</v>
      </c>
      <c r="D12" s="36">
        <v>680</v>
      </c>
      <c r="E12" t="s">
        <v>36</v>
      </c>
      <c r="F12" s="36">
        <v>990</v>
      </c>
      <c r="G12" t="s">
        <v>56</v>
      </c>
      <c r="H12">
        <f>4300/2</f>
        <v>2150</v>
      </c>
      <c r="I12" s="19" t="s">
        <v>58</v>
      </c>
      <c r="J12" s="19"/>
      <c r="L12" s="19"/>
      <c r="O12" s="119" t="s">
        <v>54</v>
      </c>
      <c r="P12">
        <v>1890</v>
      </c>
      <c r="Q12" s="139"/>
      <c r="R12" s="139"/>
    </row>
    <row r="13" spans="1:19" x14ac:dyDescent="0.25">
      <c r="A13" t="s">
        <v>85</v>
      </c>
      <c r="B13" s="36">
        <v>730</v>
      </c>
      <c r="C13" t="s">
        <v>63</v>
      </c>
      <c r="D13" s="36">
        <v>670</v>
      </c>
      <c r="E13" t="s">
        <v>44</v>
      </c>
      <c r="F13" s="36">
        <v>2370</v>
      </c>
      <c r="G13" t="s">
        <v>2</v>
      </c>
      <c r="H13">
        <v>460</v>
      </c>
      <c r="O13" s="119" t="s">
        <v>63</v>
      </c>
      <c r="P13">
        <v>650</v>
      </c>
      <c r="Q13" s="139">
        <v>30</v>
      </c>
      <c r="R13" s="139">
        <v>30</v>
      </c>
    </row>
    <row r="14" spans="1:19" x14ac:dyDescent="0.25">
      <c r="A14" t="s">
        <v>36</v>
      </c>
      <c r="B14" s="36">
        <v>1400</v>
      </c>
      <c r="C14" t="s">
        <v>54</v>
      </c>
      <c r="D14" s="36">
        <v>630</v>
      </c>
      <c r="E14" t="s">
        <v>47</v>
      </c>
      <c r="F14" s="36">
        <f>(11248+11131)/2</f>
        <v>11189.5</v>
      </c>
      <c r="G14" t="s">
        <v>57</v>
      </c>
      <c r="H14">
        <v>980</v>
      </c>
      <c r="I14" s="19" t="s">
        <v>58</v>
      </c>
      <c r="J14" s="19"/>
      <c r="L14" s="19"/>
      <c r="O14" s="119" t="s">
        <v>53</v>
      </c>
      <c r="P14">
        <v>740</v>
      </c>
      <c r="Q14" s="139"/>
      <c r="R14" s="139"/>
    </row>
    <row r="15" spans="1:19" x14ac:dyDescent="0.25">
      <c r="A15" t="s">
        <v>29</v>
      </c>
      <c r="B15" s="36">
        <v>670</v>
      </c>
      <c r="C15" t="s">
        <v>69</v>
      </c>
      <c r="D15" s="36">
        <v>1100</v>
      </c>
      <c r="F15" s="36"/>
      <c r="O15" s="119" t="s">
        <v>52</v>
      </c>
      <c r="P15">
        <v>1360</v>
      </c>
      <c r="Q15" s="139"/>
      <c r="R15" s="139"/>
    </row>
    <row r="16" spans="1:19" x14ac:dyDescent="0.25">
      <c r="A16" t="s">
        <v>30</v>
      </c>
      <c r="B16" s="36">
        <v>380</v>
      </c>
      <c r="C16" t="s">
        <v>55</v>
      </c>
      <c r="D16" s="36">
        <v>900</v>
      </c>
      <c r="F16" s="36"/>
      <c r="O16" s="119" t="s">
        <v>206</v>
      </c>
      <c r="P16">
        <v>460</v>
      </c>
      <c r="Q16" s="145"/>
      <c r="R16" s="141"/>
      <c r="S16" s="119" t="s">
        <v>299</v>
      </c>
    </row>
    <row r="17" spans="1:18" x14ac:dyDescent="0.25">
      <c r="A17" t="s">
        <v>31</v>
      </c>
      <c r="B17" s="36">
        <v>380</v>
      </c>
      <c r="C17" t="s">
        <v>62</v>
      </c>
      <c r="D17" s="36">
        <v>650</v>
      </c>
      <c r="F17" s="36"/>
      <c r="O17" s="119" t="s">
        <v>207</v>
      </c>
      <c r="P17" s="140">
        <f>SUM(1820,500,-460)</f>
        <v>1860</v>
      </c>
      <c r="Q17" s="145"/>
      <c r="R17" s="141">
        <v>35</v>
      </c>
    </row>
    <row r="18" spans="1:18" x14ac:dyDescent="0.25">
      <c r="A18" t="s">
        <v>32</v>
      </c>
      <c r="B18" s="36">
        <v>380</v>
      </c>
      <c r="C18" t="s">
        <v>61</v>
      </c>
      <c r="D18" s="36">
        <v>590</v>
      </c>
      <c r="F18" s="36"/>
      <c r="O18" s="119" t="s">
        <v>208</v>
      </c>
      <c r="P18" s="140">
        <v>600</v>
      </c>
      <c r="Q18" s="141">
        <v>35</v>
      </c>
      <c r="R18" s="141"/>
    </row>
    <row r="19" spans="1:18" x14ac:dyDescent="0.25">
      <c r="A19" t="s">
        <v>33</v>
      </c>
      <c r="B19" s="36">
        <v>380</v>
      </c>
      <c r="C19" t="s">
        <v>2</v>
      </c>
      <c r="D19" s="36">
        <v>1150</v>
      </c>
      <c r="F19" s="36"/>
      <c r="O19" s="119" t="s">
        <v>209</v>
      </c>
      <c r="P19" s="140">
        <v>1480</v>
      </c>
      <c r="Q19" s="141"/>
      <c r="R19" s="141"/>
    </row>
    <row r="20" spans="1:18" x14ac:dyDescent="0.25">
      <c r="A20" t="s">
        <v>83</v>
      </c>
      <c r="B20" s="36">
        <v>1720</v>
      </c>
      <c r="C20" t="s">
        <v>60</v>
      </c>
      <c r="D20" s="36">
        <v>1380</v>
      </c>
      <c r="F20" s="36"/>
      <c r="O20" s="119" t="s">
        <v>49</v>
      </c>
      <c r="P20" s="140">
        <v>4390</v>
      </c>
      <c r="Q20" s="139"/>
      <c r="R20" s="139"/>
    </row>
    <row r="21" spans="1:18" x14ac:dyDescent="0.25">
      <c r="A21" t="s">
        <v>84</v>
      </c>
      <c r="B21" s="36">
        <v>380</v>
      </c>
      <c r="D21" s="36"/>
      <c r="F21" s="36"/>
      <c r="O21" s="119" t="s">
        <v>210</v>
      </c>
      <c r="P21" s="140">
        <v>2760</v>
      </c>
      <c r="Q21" s="139">
        <v>40</v>
      </c>
      <c r="R21" s="139">
        <v>40</v>
      </c>
    </row>
    <row r="22" spans="1:18" x14ac:dyDescent="0.25">
      <c r="A22" t="s">
        <v>57</v>
      </c>
      <c r="B22" s="36">
        <v>460</v>
      </c>
      <c r="D22" s="36"/>
      <c r="F22" s="36"/>
      <c r="O22" s="119" t="s">
        <v>211</v>
      </c>
      <c r="P22" s="140">
        <v>1510</v>
      </c>
      <c r="Q22" s="139"/>
      <c r="R22" s="139"/>
    </row>
    <row r="23" spans="1:18" x14ac:dyDescent="0.25">
      <c r="A23" t="s">
        <v>79</v>
      </c>
      <c r="B23" s="36">
        <v>1930</v>
      </c>
      <c r="D23" s="36"/>
      <c r="F23" s="36"/>
    </row>
    <row r="24" spans="1:18" x14ac:dyDescent="0.25">
      <c r="A24" t="s">
        <v>40</v>
      </c>
      <c r="B24" s="36">
        <v>1570</v>
      </c>
      <c r="D24" s="36"/>
      <c r="F24" s="36"/>
    </row>
    <row r="25" spans="1:18" x14ac:dyDescent="0.25">
      <c r="A25" t="s">
        <v>80</v>
      </c>
      <c r="B25" s="36">
        <v>1640</v>
      </c>
      <c r="D25" s="36"/>
      <c r="F25" s="36"/>
    </row>
    <row r="26" spans="1:18" x14ac:dyDescent="0.25">
      <c r="A26" t="s">
        <v>81</v>
      </c>
      <c r="B26" s="36">
        <v>2580</v>
      </c>
      <c r="D26" s="36"/>
      <c r="F26" s="36"/>
    </row>
    <row r="27" spans="1:18" x14ac:dyDescent="0.25">
      <c r="A27" t="s">
        <v>82</v>
      </c>
      <c r="B27" s="36">
        <v>2400</v>
      </c>
      <c r="D27" s="36"/>
      <c r="F27" s="36"/>
    </row>
    <row r="28" spans="1:18" x14ac:dyDescent="0.25">
      <c r="B28" s="39">
        <f>SUM(B4:B27)</f>
        <v>32880</v>
      </c>
      <c r="C28" t="s">
        <v>34</v>
      </c>
      <c r="D28" s="39">
        <f>SUM(D5:D27)</f>
        <v>16480</v>
      </c>
      <c r="F28" s="39">
        <f>SUM(F5:F27)</f>
        <v>22769.5</v>
      </c>
      <c r="H28" s="39">
        <f>SUM(H4:H27)</f>
        <v>17110</v>
      </c>
      <c r="K28" s="39">
        <f>SUM(K4:K27)</f>
        <v>18592.5</v>
      </c>
      <c r="P28" s="39">
        <f>SUM(P4:P27)</f>
        <v>21840</v>
      </c>
    </row>
    <row r="29" spans="1:18" x14ac:dyDescent="0.25">
      <c r="B29" s="40">
        <f>B28/5280</f>
        <v>6.2272727272727275</v>
      </c>
      <c r="C29" t="s">
        <v>35</v>
      </c>
      <c r="D29" s="40">
        <f>D28/5280</f>
        <v>3.1212121212121211</v>
      </c>
      <c r="F29" s="40">
        <f>F28/5280</f>
        <v>4.3124053030303031</v>
      </c>
      <c r="H29" s="40">
        <f>H28/5280</f>
        <v>3.2405303030303032</v>
      </c>
      <c r="K29" s="40">
        <f>K28/5280</f>
        <v>3.5213068181818183</v>
      </c>
      <c r="P29" s="40">
        <f>P28/5280</f>
        <v>4.1363636363636367</v>
      </c>
    </row>
    <row r="30" spans="1:18" x14ac:dyDescent="0.25">
      <c r="A30" t="s">
        <v>38</v>
      </c>
      <c r="B30" s="41">
        <f>(COUNT(B4:B27)+1)/B29</f>
        <v>4.0145985401459852</v>
      </c>
      <c r="D30" s="41">
        <f>(COUNT(D5:D27)+1)/D29</f>
        <v>5.4466019417475726</v>
      </c>
      <c r="F30" s="41">
        <f>(COUNT(F5:F13)+1)/F29</f>
        <v>2.3188914995937546</v>
      </c>
      <c r="H30" s="41">
        <f>(COUNT(H4:H27)+1)/H29</f>
        <v>3.3945061367621272</v>
      </c>
      <c r="K30" s="41">
        <f>(COUNT(K4:K27)+1)/K29</f>
        <v>1.7039128680919724</v>
      </c>
      <c r="P30" s="41">
        <f>(COUNT(P4:P27)+1)/P29</f>
        <v>4.8351648351648349</v>
      </c>
    </row>
    <row r="31" spans="1:18" ht="66" x14ac:dyDescent="0.25">
      <c r="F31" s="20" t="s">
        <v>48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Arapahoe</vt:lpstr>
      <vt:lpstr>Pearl</vt:lpstr>
      <vt:lpstr>Valmont</vt:lpstr>
      <vt:lpstr>Broadway</vt:lpstr>
      <vt:lpstr>28th</vt:lpstr>
      <vt:lpstr>Foothills</vt:lpstr>
      <vt:lpstr>All Corridors</vt:lpstr>
      <vt:lpstr>Sheet1</vt:lpstr>
      <vt:lpstr>Distances</vt:lpstr>
      <vt:lpstr>Pearl SL</vt:lpstr>
      <vt:lpstr>Arapahoe SL</vt:lpstr>
      <vt:lpstr>Valmont SL</vt:lpstr>
      <vt:lpstr>Broadway SL</vt:lpstr>
      <vt:lpstr>28th SL</vt:lpstr>
      <vt:lpstr>Arapahoe Chart</vt:lpstr>
      <vt:lpstr>Pearl Chart</vt:lpstr>
      <vt:lpstr>Valmont Chart</vt:lpstr>
      <vt:lpstr>Broadway Chart</vt:lpstr>
      <vt:lpstr>28th Chart</vt:lpstr>
      <vt:lpstr>Foothills Chart</vt:lpstr>
      <vt:lpstr>Comparison Chart - %</vt:lpstr>
      <vt:lpstr>Comparison Chart - Time</vt:lpstr>
      <vt:lpstr>'Pearl SL'!Print_Area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Gardner-Sweeney</dc:creator>
  <cp:lastModifiedBy>King, Gretchen</cp:lastModifiedBy>
  <cp:lastPrinted>2014-08-29T20:54:56Z</cp:lastPrinted>
  <dcterms:created xsi:type="dcterms:W3CDTF">2002-02-17T04:08:59Z</dcterms:created>
  <dcterms:modified xsi:type="dcterms:W3CDTF">2017-11-28T23:24:12Z</dcterms:modified>
</cp:coreProperties>
</file>